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COMP_CONTA\Desktop\CONTABILITATE 2023\CONT DE EXECUTIE\"/>
    </mc:Choice>
  </mc:AlternateContent>
  <xr:revisionPtr revIDLastSave="0" documentId="13_ncr:1_{0462A4E3-8EE0-4283-86AC-3B02E290D135}"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venituri!$A$1:$F$115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F25" i="1"/>
  <c r="G282" i="2"/>
  <c r="H282" i="2"/>
  <c r="G230" i="2"/>
  <c r="G231" i="2"/>
  <c r="E111" i="1"/>
  <c r="E78" i="1"/>
  <c r="E63" i="1"/>
  <c r="E60" i="1"/>
  <c r="E50" i="1"/>
  <c r="E49" i="1"/>
  <c r="E47" i="1"/>
  <c r="E46" i="1"/>
  <c r="E45" i="1"/>
  <c r="E44" i="1"/>
  <c r="E31" i="1"/>
  <c r="E30" i="1"/>
  <c r="E23" i="1"/>
  <c r="E17" i="1"/>
  <c r="D152" i="2" l="1"/>
  <c r="G54" i="2"/>
  <c r="G257" i="2"/>
  <c r="G246" i="2"/>
  <c r="G285" i="2"/>
  <c r="G283" i="2"/>
  <c r="G188" i="2"/>
  <c r="G187" i="2"/>
  <c r="G284" i="2"/>
  <c r="G275" i="2"/>
  <c r="G274" i="2"/>
  <c r="G273" i="2"/>
  <c r="G272" i="2"/>
  <c r="G271" i="2"/>
  <c r="G269" i="2"/>
  <c r="G268" i="2"/>
  <c r="G267" i="2"/>
  <c r="G266" i="2"/>
  <c r="G264" i="2"/>
  <c r="G263" i="2"/>
  <c r="G262" i="2"/>
  <c r="G254" i="2"/>
  <c r="G251" i="2"/>
  <c r="G248" i="2"/>
  <c r="G232" i="2"/>
  <c r="G234" i="2"/>
  <c r="G224" i="2"/>
  <c r="G219" i="2"/>
  <c r="G213" i="2"/>
  <c r="G207" i="2"/>
  <c r="G202" i="2"/>
  <c r="G198" i="2"/>
  <c r="G197" i="2"/>
  <c r="G194" i="2"/>
  <c r="G190" i="2"/>
  <c r="G181" i="2"/>
  <c r="G177" i="2"/>
  <c r="G152" i="2"/>
  <c r="G149" i="2"/>
  <c r="G147" i="2"/>
  <c r="G146" i="2"/>
  <c r="G142" i="2"/>
  <c r="G134" i="2"/>
  <c r="G131" i="2"/>
  <c r="G130" i="2"/>
  <c r="G124" i="2"/>
  <c r="G121" i="2"/>
  <c r="G119" i="2"/>
  <c r="G118" i="2"/>
  <c r="G115" i="2"/>
  <c r="G109" i="2"/>
  <c r="G105" i="2"/>
  <c r="G104" i="2"/>
  <c r="G103" i="2"/>
  <c r="G102" i="2"/>
  <c r="G100" i="2"/>
  <c r="G93" i="2"/>
  <c r="G92" i="2"/>
  <c r="G91" i="2"/>
  <c r="G66" i="2"/>
  <c r="G63" i="2"/>
  <c r="G56" i="2"/>
  <c r="G53" i="2"/>
  <c r="G51" i="2"/>
  <c r="G49" i="2"/>
  <c r="G48" i="2"/>
  <c r="G46" i="2"/>
  <c r="G45" i="2"/>
  <c r="G42" i="2"/>
  <c r="G32" i="2"/>
  <c r="G31" i="2"/>
  <c r="G28" i="2"/>
  <c r="G27" i="2"/>
  <c r="G26" i="2"/>
  <c r="G25" i="2"/>
  <c r="E38" i="1" l="1"/>
  <c r="E37" i="1"/>
  <c r="G143" i="2"/>
  <c r="G87" i="2"/>
  <c r="G255" i="2"/>
  <c r="G229" i="2"/>
  <c r="H229" i="2"/>
  <c r="G222" i="2"/>
  <c r="G217" i="2"/>
  <c r="G205" i="2"/>
  <c r="G200" i="2"/>
  <c r="G195" i="2"/>
  <c r="H186" i="2"/>
  <c r="G186" i="2"/>
  <c r="G106" i="2"/>
  <c r="D270" i="2" l="1"/>
  <c r="E270" i="2"/>
  <c r="F270" i="2"/>
  <c r="G270" i="2"/>
  <c r="H270" i="2"/>
  <c r="C270" i="2"/>
  <c r="D163" i="2"/>
  <c r="E163" i="2"/>
  <c r="F163" i="2"/>
  <c r="G163" i="2"/>
  <c r="H163" i="2"/>
  <c r="C163" i="2"/>
  <c r="D247" i="2" l="1"/>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G287" i="2" s="1"/>
  <c r="G14" i="2" s="1"/>
  <c r="H292" i="2"/>
  <c r="D288" i="2"/>
  <c r="D287" i="2" s="1"/>
  <c r="D14" i="2" s="1"/>
  <c r="E288" i="2"/>
  <c r="E287" i="2" s="1"/>
  <c r="E14" i="2" s="1"/>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D18" i="2" s="1"/>
  <c r="E258" i="2"/>
  <c r="E18" i="2" s="1"/>
  <c r="F258" i="2"/>
  <c r="F18" i="2" s="1"/>
  <c r="G258" i="2"/>
  <c r="G18" i="2" s="1"/>
  <c r="H258" i="2"/>
  <c r="H18" i="2" s="1"/>
  <c r="D242" i="2"/>
  <c r="E242" i="2"/>
  <c r="F242" i="2"/>
  <c r="G242" i="2"/>
  <c r="H242" i="2"/>
  <c r="D239" i="2"/>
  <c r="E239" i="2"/>
  <c r="F239" i="2"/>
  <c r="G239" i="2"/>
  <c r="H239" i="2"/>
  <c r="D236" i="2"/>
  <c r="E236" i="2"/>
  <c r="F236" i="2"/>
  <c r="G236" i="2"/>
  <c r="H236" i="2"/>
  <c r="D223" i="2"/>
  <c r="E223" i="2"/>
  <c r="F223" i="2"/>
  <c r="G223" i="2"/>
  <c r="H223" i="2"/>
  <c r="D218" i="2"/>
  <c r="E218" i="2"/>
  <c r="F218" i="2"/>
  <c r="G218" i="2"/>
  <c r="H218" i="2"/>
  <c r="D212" i="2"/>
  <c r="E212" i="2"/>
  <c r="F212" i="2"/>
  <c r="G212" i="2"/>
  <c r="H212" i="2"/>
  <c r="D209" i="2"/>
  <c r="E209" i="2"/>
  <c r="F209" i="2"/>
  <c r="G209" i="2"/>
  <c r="H209" i="2"/>
  <c r="D201" i="2"/>
  <c r="E201" i="2"/>
  <c r="F201" i="2"/>
  <c r="G201" i="2"/>
  <c r="H201" i="2"/>
  <c r="D196" i="2"/>
  <c r="E196" i="2"/>
  <c r="F196" i="2"/>
  <c r="G196" i="2"/>
  <c r="H196" i="2"/>
  <c r="F185" i="2"/>
  <c r="D185" i="2"/>
  <c r="E185" i="2"/>
  <c r="G185" i="2"/>
  <c r="H185" i="2"/>
  <c r="D180" i="2"/>
  <c r="E180" i="2"/>
  <c r="F180" i="2"/>
  <c r="G180" i="2"/>
  <c r="H180" i="2"/>
  <c r="D176" i="2"/>
  <c r="E176" i="2"/>
  <c r="F176" i="2"/>
  <c r="G176" i="2"/>
  <c r="H176" i="2"/>
  <c r="D171" i="2"/>
  <c r="E171" i="2"/>
  <c r="F171" i="2"/>
  <c r="G171" i="2"/>
  <c r="H171" i="2"/>
  <c r="D167" i="2"/>
  <c r="E167" i="2"/>
  <c r="E166" i="2" s="1"/>
  <c r="F167" i="2"/>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E133" i="2"/>
  <c r="F133" i="2"/>
  <c r="G133" i="2"/>
  <c r="H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9" i="2"/>
  <c r="E98" i="2" s="1"/>
  <c r="F99" i="2"/>
  <c r="F98" i="2" s="1"/>
  <c r="G99" i="2"/>
  <c r="G98" i="2" s="1"/>
  <c r="D95" i="2"/>
  <c r="E95" i="2"/>
  <c r="F95" i="2"/>
  <c r="G95" i="2"/>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24" i="2"/>
  <c r="E24" i="2"/>
  <c r="F24" i="2"/>
  <c r="G24" i="2"/>
  <c r="H24" i="2"/>
  <c r="C239" i="2"/>
  <c r="C229" i="2"/>
  <c r="C218" i="2"/>
  <c r="C196" i="2"/>
  <c r="C186" i="2"/>
  <c r="C185" i="2" s="1"/>
  <c r="C139"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D96" i="1"/>
  <c r="E96" i="1"/>
  <c r="F96" i="1"/>
  <c r="C93" i="1"/>
  <c r="D93" i="1"/>
  <c r="E93" i="1"/>
  <c r="F93" i="1"/>
  <c r="C91" i="1"/>
  <c r="D91" i="1"/>
  <c r="E91" i="1"/>
  <c r="E90" i="1" s="1"/>
  <c r="F91" i="1"/>
  <c r="C81" i="1"/>
  <c r="D81" i="1"/>
  <c r="E81" i="1"/>
  <c r="F81" i="1"/>
  <c r="C68" i="1"/>
  <c r="C67" i="1" s="1"/>
  <c r="C66" i="1" s="1"/>
  <c r="D68" i="1"/>
  <c r="D67" i="1" s="1"/>
  <c r="D66" i="1" s="1"/>
  <c r="E68" i="1"/>
  <c r="F68" i="1"/>
  <c r="C64" i="1"/>
  <c r="D64" i="1"/>
  <c r="E64" i="1"/>
  <c r="F64" i="1"/>
  <c r="C59" i="1"/>
  <c r="D59" i="1"/>
  <c r="E59" i="1"/>
  <c r="F59" i="1"/>
  <c r="C56" i="1"/>
  <c r="D56" i="1"/>
  <c r="E56" i="1"/>
  <c r="F56" i="1"/>
  <c r="C54" i="1"/>
  <c r="D54" i="1"/>
  <c r="E54" i="1"/>
  <c r="F54" i="1"/>
  <c r="C29" i="1"/>
  <c r="C28" i="1" s="1"/>
  <c r="D29" i="1"/>
  <c r="D28" i="1" s="1"/>
  <c r="E29" i="1"/>
  <c r="E28" i="1" s="1"/>
  <c r="F29" i="1"/>
  <c r="F28" i="1" s="1"/>
  <c r="C24" i="1"/>
  <c r="D24" i="1"/>
  <c r="E24" i="1"/>
  <c r="F24" i="1"/>
  <c r="C16" i="1"/>
  <c r="D16" i="1"/>
  <c r="E16" i="1"/>
  <c r="F16" i="1"/>
  <c r="C9" i="1"/>
  <c r="D9" i="1"/>
  <c r="E9" i="1"/>
  <c r="F9" i="1"/>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29" i="2"/>
  <c r="C126" i="2"/>
  <c r="C123" i="2"/>
  <c r="C120" i="2"/>
  <c r="C117" i="2"/>
  <c r="C114" i="2"/>
  <c r="C111" i="2"/>
  <c r="C108" i="2"/>
  <c r="C99" i="2"/>
  <c r="C98" i="2" s="1"/>
  <c r="C95" i="2"/>
  <c r="C79" i="2"/>
  <c r="C78" i="2" s="1"/>
  <c r="C77" i="2" s="1"/>
  <c r="C16" i="2" s="1"/>
  <c r="C74" i="2"/>
  <c r="C15" i="2" s="1"/>
  <c r="C72" i="2"/>
  <c r="C71" i="2" s="1"/>
  <c r="C11" i="2" s="1"/>
  <c r="C68" i="2"/>
  <c r="C60" i="2"/>
  <c r="C58" i="2"/>
  <c r="C34" i="2"/>
  <c r="C24" i="2"/>
  <c r="E15" i="1" l="1"/>
  <c r="E14" i="1" s="1"/>
  <c r="F58" i="1"/>
  <c r="D206" i="2"/>
  <c r="H206" i="2"/>
  <c r="H184" i="2" s="1"/>
  <c r="E58" i="1"/>
  <c r="E95" i="1"/>
  <c r="E206" i="2"/>
  <c r="E184" i="2" s="1"/>
  <c r="F95" i="1"/>
  <c r="D58" i="1"/>
  <c r="D95" i="1"/>
  <c r="G90" i="2"/>
  <c r="F67" i="1"/>
  <c r="F66" i="1" s="1"/>
  <c r="D15" i="1"/>
  <c r="D14" i="1" s="1"/>
  <c r="D90" i="1"/>
  <c r="C15" i="1"/>
  <c r="C14" i="1" s="1"/>
  <c r="C53" i="1"/>
  <c r="C90" i="1"/>
  <c r="C132" i="2"/>
  <c r="D90" i="2"/>
  <c r="F90" i="2"/>
  <c r="H132" i="2"/>
  <c r="H107" i="2" s="1"/>
  <c r="E90" i="2"/>
  <c r="F132" i="2"/>
  <c r="F107" i="2" s="1"/>
  <c r="D132" i="2"/>
  <c r="D107" i="2" s="1"/>
  <c r="D53" i="1"/>
  <c r="D52" i="1" s="1"/>
  <c r="E67" i="1"/>
  <c r="E66" i="1" s="1"/>
  <c r="F206" i="2"/>
  <c r="F184" i="2" s="1"/>
  <c r="F166" i="2"/>
  <c r="C58" i="1"/>
  <c r="C95" i="1"/>
  <c r="H287" i="2"/>
  <c r="H14" i="2" s="1"/>
  <c r="C90" i="2"/>
  <c r="F15" i="1"/>
  <c r="F14" i="1" s="1"/>
  <c r="F53" i="1"/>
  <c r="F90" i="1"/>
  <c r="H90" i="2"/>
  <c r="E53" i="1"/>
  <c r="C228" i="2"/>
  <c r="C227" i="2" s="1"/>
  <c r="F23" i="2"/>
  <c r="F9" i="2" s="1"/>
  <c r="G132" i="2"/>
  <c r="G107" i="2" s="1"/>
  <c r="G166" i="2"/>
  <c r="G144" i="2" s="1"/>
  <c r="H228" i="2"/>
  <c r="H227" i="2" s="1"/>
  <c r="F228" i="2"/>
  <c r="F227" i="2" s="1"/>
  <c r="C261" i="2"/>
  <c r="C260" i="2" s="1"/>
  <c r="C259" i="2" s="1"/>
  <c r="C12" i="2" s="1"/>
  <c r="H166" i="2"/>
  <c r="D166" i="2"/>
  <c r="D144" i="2" s="1"/>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D184" i="2"/>
  <c r="G206" i="2"/>
  <c r="G184" i="2" s="1"/>
  <c r="F144" i="2"/>
  <c r="H77" i="2"/>
  <c r="H16" i="2" s="1"/>
  <c r="H17" i="2"/>
  <c r="F77" i="2"/>
  <c r="F16" i="2" s="1"/>
  <c r="F17" i="2"/>
  <c r="H23" i="2"/>
  <c r="H9" i="2" s="1"/>
  <c r="D23" i="2"/>
  <c r="D9" i="2" s="1"/>
  <c r="D17" i="2"/>
  <c r="H144" i="2"/>
  <c r="E144" i="2"/>
  <c r="G17" i="2"/>
  <c r="G77" i="2"/>
  <c r="G16" i="2" s="1"/>
  <c r="E77" i="2"/>
  <c r="E16" i="2" s="1"/>
  <c r="E17" i="2"/>
  <c r="E23" i="2"/>
  <c r="G23" i="2"/>
  <c r="G9" i="2" s="1"/>
  <c r="C102" i="1"/>
  <c r="F102" i="1"/>
  <c r="E102" i="1"/>
  <c r="D102" i="1"/>
  <c r="C206" i="2"/>
  <c r="C184" i="2" s="1"/>
  <c r="C107" i="2"/>
  <c r="C287" i="2"/>
  <c r="C14" i="2" s="1"/>
  <c r="C166" i="2"/>
  <c r="C144" i="2" s="1"/>
  <c r="C13" i="2"/>
  <c r="C300" i="2"/>
  <c r="C299" i="2" s="1"/>
  <c r="C298" i="2"/>
  <c r="C297" i="2" s="1"/>
  <c r="C296" i="2" s="1"/>
  <c r="C23" i="2"/>
  <c r="C9" i="2" s="1"/>
  <c r="C17" i="2"/>
  <c r="E52" i="1" l="1"/>
  <c r="E8" i="1" s="1"/>
  <c r="E7" i="1" s="1"/>
  <c r="F52" i="1"/>
  <c r="F8" i="1" s="1"/>
  <c r="F7" i="1" s="1"/>
  <c r="C52" i="1"/>
  <c r="D8" i="1"/>
  <c r="D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<sst xmlns="http://schemas.openxmlformats.org/spreadsheetml/2006/main" count="663" uniqueCount="539">
  <si>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</si>
  <si>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</si>
  <si>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</si>
  <si>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</si>
  <si>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</si>
  <si>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</si>
  <si>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</si>
  <si>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</si>
  <si>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</si>
  <si>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</si>
  <si>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</si>
  <si>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</si>
  <si>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</si>
  <si>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</si>
  <si>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</si>
  <si>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</si>
  <si>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</si>
  <si>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</si>
  <si>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</si>
  <si>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</si>
  <si>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</si>
  <si>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</si>
  <si>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</si>
  <si>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</si>
  <si>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</si>
  <si>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</si>
  <si>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</si>
  <si>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</si>
  <si>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</si>
  <si>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</si>
  <si>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</si>
  <si>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</si>
  <si>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</si>
  <si>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</si>
  <si>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</si>
  <si>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</si>
  <si>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</si>
  <si>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</si>
  <si>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</si>
  <si>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</si>
  <si>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</si>
  <si>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</si>
  <si>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</si>
  <si>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</si>
  <si>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</si>
  <si>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</si>
  <si>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</si>
  <si>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</si>
  <si>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</si>
  <si>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</si>
  <si>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</si>
  <si>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</si>
  <si>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</si>
  <si>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</si>
  <si>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</si>
  <si>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</si>
  <si>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</si>
  <si>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</si>
  <si>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</si>
  <si>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</si>
  <si>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</si>
  <si>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</si>
  <si>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</si>
  <si>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</si>
  <si>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</si>
  <si>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</si>
  <si>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</si>
  <si>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</si>
  <si>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</si>
  <si>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</si>
  <si>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</si>
  <si>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</si>
  <si>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</si>
  <si>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</si>
  <si>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</si>
  <si>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</si>
  <si>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</si>
  <si>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</si>
  <si>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</si>
  <si>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</si>
  <si>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</si>
  <si>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</si>
  <si>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</si>
  <si>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</si>
  <si>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</si>
  <si>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</si>
  <si>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</si>
  <si>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</si>
  <si>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</si>
  <si>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</si>
  <si>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</si>
  <si>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</si>
  <si>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</si>
  <si>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</si>
  <si>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</si>
  <si>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</si>
  <si>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</si>
  <si>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</si>
  <si>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</si>
  <si>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</si>
  <si>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</si>
  <si>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</si>
  <si>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</si>
  <si>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</si>
  <si>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</si>
  <si>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</si>
  <si>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</si>
  <si>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</si>
  <si>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</si>
  <si>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</si>
  <si>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</si>
  <si>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</si>
  <si>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</si>
  <si>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</si>
  <si>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</si>
  <si>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</si>
  <si>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</si>
  <si>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</si>
  <si>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</si>
  <si>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</si>
  <si>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</si>
  <si>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</si>
  <si>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</si>
  <si>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</si>
  <si>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</si>
  <si>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</si>
  <si>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</si>
  <si>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</si>
  <si>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</si>
  <si>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</si>
  <si>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</si>
  <si>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</si>
  <si>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</si>
  <si>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</si>
  <si>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</si>
  <si>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</si>
  <si>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</si>
  <si>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</si>
  <si>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</si>
  <si>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</si>
  <si>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</si>
  <si>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</si>
  <si>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</si>
  <si>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</si>
  <si>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</si>
  <si>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</si>
  <si>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</si>
  <si>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</si>
  <si>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</si>
  <si>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</si>
  <si>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</si>
  <si>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</si>
  <si>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</si>
  <si>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</si>
  <si>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</si>
  <si>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</si>
  <si>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</si>
  <si>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</si>
  <si>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</si>
  <si>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</si>
  <si>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</si>
  <si>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</si>
  <si>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</si>
  <si>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</si>
  <si>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</si>
  <si>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</si>
  <si>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</si>
  <si>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</si>
  <si>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</si>
  <si>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</si>
  <si>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</si>
  <si>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</si>
  <si>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</si>
  <si>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</si>
  <si>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</si>
  <si>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</si>
  <si>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</si>
  <si>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</si>
  <si>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</si>
  <si>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</si>
  <si>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</si>
  <si>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</si>
  <si>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</si>
  <si>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</si>
  <si>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</si>
  <si>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</si>
  <si>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</si>
  <si>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</si>
  <si>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</si>
  <si>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</si>
  <si>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</si>
  <si>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</si>
  <si>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</si>
  <si>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</si>
  <si>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</si>
  <si>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</si>
  <si>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</si>
  <si>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</si>
  <si>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</si>
  <si>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</si>
  <si>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</si>
  <si>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</si>
  <si>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</si>
  <si>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</si>
  <si>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</si>
  <si>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</si>
  <si>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</si>
  <si>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</si>
  <si>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</si>
  <si>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</si>
  <si>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</si>
  <si>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</si>
  <si>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</si>
  <si>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</si>
  <si>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</si>
  <si>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</si>
  <si>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</si>
  <si>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</si>
  <si>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</si>
  <si>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</si>
  <si>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</si>
  <si>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</si>
  <si>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</si>
  <si>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</si>
  <si>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</si>
  <si>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</si>
  <si>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</si>
  <si>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</si>
  <si>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</si>
  <si>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</si>
  <si>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</si>
  <si>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</si>
  <si>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</si>
  <si>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</si>
  <si>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</si>
  <si>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</si>
  <si>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</si>
  <si>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</si>
  <si>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</si>
  <si>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</si>
  <si>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</si>
  <si>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</si>
  <si>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</si>
  <si>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</si>
  <si>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</si>
  <si>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</si>
  <si>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</si>
  <si>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</si>
  <si>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</si>
  <si>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</si>
  <si>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</si>
  <si>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</si>
  <si>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</si>
  <si>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</si>
  <si>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</si>
  <si>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</si>
  <si>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</si>
  <si>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</si>
  <si>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</si>
  <si>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</si>
  <si>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</si>
  <si>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</si>
  <si>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</si>
  <si>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</si>
  <si>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</si>
  <si>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</si>
  <si>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</si>
  <si>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</si>
  <si>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</si>
  <si>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</si>
  <si>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</si>
  <si>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</si>
  <si>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</si>
  <si>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</si>
  <si>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</si>
  <si>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</si>
  <si>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</si>
  <si>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</si>
  <si>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</si>
  <si>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</si>
  <si>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</si>
  <si>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</si>
  <si>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</si>
  <si>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</si>
  <si>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</si>
  <si>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</si>
  <si>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</si>
  <si>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</si>
  <si>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</si>
  <si>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</si>
  <si>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</si>
  <si>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</si>
  <si>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</si>
  <si>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</si>
  <si>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</si>
  <si>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</si>
  <si>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</si>
  <si>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</si>
  <si>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</si>
  <si>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</si>
  <si>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</si>
  <si>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</si>
  <si>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</si>
  <si>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</si>
  <si>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</si>
  <si>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</si>
  <si>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</si>
  <si>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</si>
  <si>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</si>
  <si>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</si>
  <si>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</si>
  <si>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</si>
  <si>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</si>
  <si>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</si>
  <si>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</si>
  <si>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</si>
  <si>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</si>
  <si>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</si>
  <si>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</si>
  <si>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</si>
  <si>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</si>
  <si>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</si>
  <si>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</si>
  <si>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</si>
  <si>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</si>
  <si>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</si>
  <si>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</si>
  <si>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</si>
  <si>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</si>
  <si>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</si>
  <si>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</si>
  <si>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</si>
  <si>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</si>
  <si>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</si>
  <si>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</si>
  <si>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</si>
  <si>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</si>
  <si>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</si>
  <si>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</si>
  <si>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</si>
  <si>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</si>
  <si>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</si>
  <si>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</si>
  <si>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</si>
  <si>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</si>
  <si>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</si>
  <si>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</si>
  <si>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</si>
  <si>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</si>
  <si>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</si>
  <si>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</si>
  <si>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</si>
  <si>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</si>
  <si>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</si>
  <si>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</si>
  <si>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</si>
  <si>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</si>
  <si>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</si>
  <si>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</si>
  <si>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</si>
  <si>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</si>
  <si>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</si>
  <si>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</si>
  <si>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</si>
  <si>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</si>
  <si>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</si>
  <si>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</si>
  <si>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</si>
  <si>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</si>
  <si>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</si>
  <si>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</si>
  <si>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</si>
  <si>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</si>
  <si>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</si>
  <si>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</si>
  <si>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</si>
  <si>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</si>
  <si>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</si>
  <si>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</si>
  <si>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</si>
  <si>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</si>
  <si>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</si>
  <si>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</si>
  <si>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</si>
  <si>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</si>
  <si>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</si>
  <si>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</si>
  <si>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</si>
  <si>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</si>
  <si>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</si>
  <si>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</si>
  <si>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</si>
  <si>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</si>
  <si>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</si>
  <si>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</si>
  <si>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</si>
  <si>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</si>
  <si>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</si>
  <si>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</si>
  <si>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</si>
  <si>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</si>
  <si>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</si>
  <si>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</si>
  <si>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</si>
  <si>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</si>
  <si>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</si>
  <si>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</si>
  <si>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</si>
  <si>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</si>
  <si>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</si>
  <si>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</si>
  <si>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</si>
  <si>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</si>
  <si>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</si>
  <si>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</si>
  <si>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</si>
  <si>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</si>
  <si>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</si>
  <si>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</si>
  <si>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</si>
  <si>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</si>
  <si>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</si>
  <si>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</si>
  <si>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</si>
  <si>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</si>
  <si>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</si>
  <si>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</si>
  <si>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</si>
  <si>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</si>
  <si>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</si>
  <si>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</si>
  <si>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</si>
  <si>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</si>
  <si>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</si>
  <si>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</si>
  <si>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</si>
  <si>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</si>
  <si>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</si>
  <si>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</si>
  <si>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</si>
  <si>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</si>
  <si>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</si>
  <si>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</si>
  <si>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</si>
  <si>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</si>
  <si>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</si>
  <si>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</si>
  <si>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</si>
  <si>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</si>
  <si>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</si>
  <si>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</si>
  <si>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</si>
  <si>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</si>
  <si>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</si>
  <si>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</si>
  <si>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</si>
  <si>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</si>
  <si>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</si>
  <si>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</si>
  <si>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</si>
  <si>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</si>
  <si>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</si>
  <si>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</si>
  <si>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</si>
  <si>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</si>
  <si>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</si>
  <si>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</si>
  <si>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</si>
  <si>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</si>
  <si>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</si>
  <si>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</si>
  <si>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</si>
  <si>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</si>
  <si>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</si>
  <si>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</si>
  <si>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</si>
  <si>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</si>
  <si>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</si>
  <si>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</si>
  <si>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</si>
  <si>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</si>
  <si>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</si>
  <si>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</si>
  <si>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</si>
  <si>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</si>
  <si>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</si>
  <si>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</si>
  <si>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</si>
  <si>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</si>
  <si>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</si>
  <si>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</si>
  <si>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</si>
  <si>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</si>
  <si>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</si>
  <si>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</si>
  <si>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</si>
  <si>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</si>
  <si>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</si>
  <si>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</si>
  <si>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</si>
  <si>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</si>
  <si>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</si>
  <si>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</si>
  <si>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</si>
  <si>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</si>
  <si>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</si>
  <si>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</si>
  <si>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</si>
  <si>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</si>
  <si>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</si>
  <si>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</si>
  <si>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</si>
  <si>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</si>
  <si>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</si>
  <si>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</si>
  <si>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</si>
  <si>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</si>
  <si>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</si>
  <si>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</si>
  <si>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</si>
  <si>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</si>
  <si>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</si>
  <si>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</si>
  <si>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</si>
  <si>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</si>
  <si>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</si>
  <si>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</si>
  <si>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</si>
  <si>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</si>
  <si>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</si>
  <si>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CASA DE ASIGURARI DE SANATATE BISTRITA-NASAUD</t>
  </si>
  <si>
    <t>DIRECTOR GENERAL,</t>
  </si>
  <si>
    <t>DIRECTOR ECONOMIC,</t>
  </si>
  <si>
    <t>Ec.Szekely Vilhelm</t>
  </si>
  <si>
    <t>EC.Ratiu Mircea Ioan</t>
  </si>
  <si>
    <t>CONT DE EXECUTIE VENITURI LUNA NOIEMBRIE 2023</t>
  </si>
  <si>
    <t>CONT DE EXECUTIE CHELTUIELI LUNA NOIEMBRIE 2023</t>
  </si>
  <si>
    <t>Nr. 17272 /12.12.2023</t>
  </si>
  <si>
    <t>Nr.  17272  /12.12.2023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</si>
</sst>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8">
    <font>
      <sz val="10"/>
      <name val="Arial"/>
      <charset val="238"/>
    </font>
    <font>
      <sz val="10"/>
      <name val="Arial"/>
      <family val="2"/>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0"/>
      <color rgb="FFFF0000"/>
      <name val="Palatino Linotype"/>
      <family val="1"/>
      <charset val="238"/>
    </font>
    <font>
      <b/>
      <sz val="10"/>
      <color rgb="FFFF0000"/>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8">
    <xf numFmtId="0" fontId="0" fillId="0" borderId="0" xfId="0"/>
    <xf numFmtId="4" fontId="3" fillId="0" borderId="0" xfId="0" applyNumberFormat="1" applyFont="1"/>
    <xf numFmtId="0" fontId="4" fillId="0" borderId="0" xfId="0" applyFont="1"/>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2" fontId="4" fillId="0" borderId="1" xfId="0" applyNumberFormat="1" applyFont="1" applyBorder="1" applyAlignment="1">
      <alignment wrapText="1"/>
    </xf>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3" fontId="9" fillId="0" borderId="1" xfId="3" applyNumberFormat="1" applyFont="1" applyBorder="1" applyAlignment="1">
      <alignment horizontal="right"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49" fontId="9" fillId="2" borderId="0" xfId="0" applyNumberFormat="1" applyFont="1" applyFill="1" applyAlignment="1">
      <alignment vertical="top" wrapText="1"/>
    </xf>
    <xf numFmtId="165" fontId="9" fillId="2" borderId="1" xfId="2" applyNumberFormat="1" applyFont="1" applyFill="1" applyBorder="1"/>
    <xf numFmtId="165" fontId="25" fillId="0" borderId="1" xfId="2" applyNumberFormat="1" applyFont="1" applyBorder="1" applyAlignment="1">
      <alignment wrapText="1"/>
    </xf>
    <xf numFmtId="3" fontId="26" fillId="0" borderId="0" xfId="0" applyNumberFormat="1" applyFont="1"/>
    <xf numFmtId="4" fontId="27" fillId="0" borderId="1" xfId="3" applyNumberFormat="1" applyFont="1" applyBorder="1" applyAlignment="1">
      <alignment horizontal="right" wrapText="1"/>
    </xf>
    <xf numFmtId="4" fontId="9" fillId="0" borderId="1" xfId="0" applyNumberFormat="1" applyFont="1" applyBorder="1" applyAlignment="1">
      <alignment vertical="top" wrapText="1"/>
    </xf>
    <xf numFmtId="4" fontId="12" fillId="0" borderId="1" xfId="0" applyNumberFormat="1" applyFont="1" applyBorder="1" applyAlignment="1">
      <alignment horizontal="right"/>
    </xf>
    <xf numFmtId="4" fontId="10" fillId="3" borderId="1" xfId="0" applyNumberFormat="1" applyFont="1" applyFill="1" applyBorder="1" applyAlignment="1">
      <alignment horizontal="right"/>
    </xf>
    <xf numFmtId="4" fontId="11" fillId="2" borderId="1" xfId="3" applyNumberFormat="1" applyFont="1" applyFill="1" applyBorder="1" applyAlignment="1">
      <alignment horizontal="right" wrapText="1"/>
    </xf>
    <xf numFmtId="4" fontId="27" fillId="2" borderId="1" xfId="3" applyNumberFormat="1" applyFont="1" applyFill="1" applyBorder="1" applyAlignment="1">
      <alignment horizontal="right" wrapText="1"/>
    </xf>
    <xf numFmtId="3" fontId="19" fillId="0" borderId="1" xfId="3" applyNumberFormat="1" applyFont="1" applyBorder="1" applyAlignment="1">
      <alignment horizontal="right" wrapText="1"/>
    </xf>
    <xf numFmtId="3" fontId="25" fillId="0" borderId="1" xfId="3" applyNumberFormat="1" applyFont="1" applyBorder="1" applyAlignment="1">
      <alignment horizontal="right" wrapText="1"/>
    </xf>
    <xf numFmtId="3" fontId="19" fillId="2" borderId="1" xfId="3" applyNumberFormat="1" applyFont="1" applyFill="1" applyBorder="1" applyAlignment="1">
      <alignment horizontal="right" wrapText="1"/>
    </xf>
    <xf numFmtId="4" fontId="11" fillId="3" borderId="1" xfId="3" applyNumberFormat="1" applyFont="1" applyFill="1" applyBorder="1" applyAlignment="1">
      <alignment horizontal="right" wrapText="1"/>
    </xf>
    <xf numFmtId="4" fontId="27" fillId="3" borderId="1" xfId="3" applyNumberFormat="1" applyFont="1" applyFill="1" applyBorder="1" applyAlignment="1">
      <alignment horizontal="right" wrapText="1"/>
    </xf>
    <xf numFmtId="3" fontId="9" fillId="3" borderId="1" xfId="0" applyNumberFormat="1" applyFont="1" applyFill="1" applyBorder="1"/>
    <xf numFmtId="4" fontId="9" fillId="3" borderId="1" xfId="0" applyNumberFormat="1" applyFont="1" applyFill="1" applyBorder="1"/>
    <xf numFmtId="49" fontId="9" fillId="3" borderId="1" xfId="0" applyNumberFormat="1" applyFont="1" applyFill="1" applyBorder="1" applyAlignment="1">
      <alignment vertical="top" wrapText="1"/>
    </xf>
    <xf numFmtId="3" fontId="9" fillId="3" borderId="1" xfId="0" applyNumberFormat="1" applyFont="1" applyFill="1" applyBorder="1" applyAlignment="1">
      <alignment horizontal="center" vertical="top" wrapText="1"/>
    </xf>
    <xf numFmtId="4" fontId="11" fillId="3" borderId="0" xfId="0" applyNumberFormat="1" applyFont="1" applyFill="1"/>
    <xf numFmtId="0" fontId="11" fillId="3" borderId="0" xfId="0" applyFont="1" applyFill="1"/>
    <xf numFmtId="0" fontId="9" fillId="3" borderId="0" xfId="0" applyFont="1" applyFill="1"/>
    <xf numFmtId="0" fontId="1" fillId="0" borderId="0" xfId="0" applyFont="1"/>
    <xf numFmtId="4" fontId="1" fillId="0" borderId="0" xfId="0" applyNumberFormat="1" applyFont="1"/>
    <xf numFmtId="0" fontId="2" fillId="0" borderId="0" xfId="0" applyFont="1" applyAlignment="1">
      <alignment horizontal="center"/>
    </xf>
    <xf numFmtId="3" fontId="3" fillId="0" borderId="1" xfId="0" applyNumberFormat="1" applyFont="1" applyBorder="1"/>
    <xf numFmtId="3" fontId="1" fillId="0" borderId="1" xfId="0" applyNumberFormat="1" applyFont="1" applyBorder="1"/>
    <xf numFmtId="4" fontId="1" fillId="0" borderId="1" xfId="0" applyNumberFormat="1" applyFont="1" applyBorder="1"/>
    <xf numFmtId="4" fontId="9" fillId="3" borderId="1" xfId="2" applyNumberFormat="1" applyFont="1" applyFill="1" applyBorder="1" applyAlignment="1">
      <alignment horizontal="center" wrapText="1"/>
    </xf>
    <xf numFmtId="4" fontId="9" fillId="3" borderId="0" xfId="0" applyNumberFormat="1" applyFont="1" applyFill="1"/>
    <xf numFmtId="0" fontId="3" fillId="0" borderId="0" xfId="0" applyFont="1" applyAlignment="1">
      <alignment horizontal="center" wrapText="1"/>
    </xf>
    <xf numFmtId="49" fontId="25" fillId="0" borderId="0" xfId="0" applyNumberFormat="1" applyFont="1" applyAlignment="1">
      <alignment horizontal="left" vertical="top" wrapText="1"/>
    </xf>
    <xf numFmtId="0" fontId="4" fillId="0" borderId="0" xfId="0" applyFont="1" applyAlignment="1">
      <alignment horizontal="center" wrapText="1"/>
    </xf>
    <xf numFmtId="0" fontId="3" fillId="0" borderId="0" xfId="0" applyFont="1" applyAlignment="1">
      <alignment horizontal="center"/>
    </xf>
    <xf numFmtId="0" fontId="6" fillId="0" borderId="0" xfId="2"/>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A3" sqref="A3"/>
    </sheetView>
  </sheetViews>
  <sheetFormatPr defaultRowHeight="12.75"/>
  <cols>
    <col min="1" max="1" width="11" style="29" customWidth="1"/>
    <col min="2" max="2" width="59.5703125" style="2" customWidth="1"/>
    <col min="3" max="3" width="15" style="21" customWidth="1"/>
    <col min="4" max="4" width="16.28515625" style="21" customWidth="1"/>
    <col min="5" max="5" width="16.85546875" style="135" customWidth="1"/>
    <col min="6" max="6" width="14.7109375" style="135" customWidth="1"/>
    <col min="7" max="7" width="11.140625" style="2" customWidth="1"/>
    <col min="8" max="8" width="11.7109375" style="2" bestFit="1" customWidth="1"/>
    <col min="9" max="9" width="9.28515625" style="2" customWidth="1"/>
    <col min="10" max="10" width="10" style="2" customWidth="1"/>
    <col min="11" max="11" width="8.5703125" style="2" customWidth="1"/>
    <col min="12" max="12" width="10.5703125" style="2" customWidth="1"/>
    <col min="13" max="13" width="10.85546875" style="2" customWidth="1"/>
    <col min="14" max="14" width="11" style="2" customWidth="1"/>
    <col min="15" max="15" width="10.28515625" style="2" customWidth="1"/>
    <col min="16" max="16" width="9.140625" style="2"/>
    <col min="17" max="17" width="10" style="2" customWidth="1"/>
    <col min="18" max="18" width="10.7109375" style="2" customWidth="1"/>
    <col min="19" max="19" width="10" style="2" customWidth="1"/>
    <col min="20" max="20" width="10.28515625" style="2" customWidth="1"/>
    <col min="21" max="21" width="10" style="2" customWidth="1"/>
    <col min="22" max="22" width="10.85546875" style="2" customWidth="1"/>
    <col min="23" max="23" width="9.140625" style="2"/>
    <col min="24" max="24" width="9.7109375" style="2" customWidth="1"/>
    <col min="25" max="25" width="10.140625" style="2" customWidth="1"/>
    <col min="26" max="26" width="10.85546875" style="2" customWidth="1"/>
    <col min="27" max="27" width="9.7109375" style="2" customWidth="1"/>
    <col min="28" max="29" width="10.5703125" style="2" customWidth="1"/>
    <col min="30" max="30" width="10.85546875" style="2" customWidth="1"/>
    <col min="31" max="31" width="9.85546875" style="2" customWidth="1"/>
    <col min="32" max="32" width="9" style="2" customWidth="1"/>
    <col min="33" max="33" width="10.140625" style="2" customWidth="1"/>
    <col min="34" max="34" width="10.5703125" style="2" customWidth="1"/>
    <col min="35" max="35" width="10.7109375" style="2" customWidth="1"/>
    <col min="36" max="36" width="9.28515625" style="2" customWidth="1"/>
    <col min="37" max="37" width="10.28515625" style="2" customWidth="1"/>
    <col min="38" max="38" width="9.85546875" style="2" customWidth="1"/>
    <col min="39" max="39" width="10.7109375" style="2" customWidth="1"/>
    <col min="40" max="40" width="10" style="2" customWidth="1"/>
    <col min="41" max="41" width="10.28515625" style="2" customWidth="1"/>
    <col min="42" max="42" width="9.5703125" style="2" customWidth="1"/>
    <col min="43" max="43" width="10.7109375" style="2" customWidth="1"/>
    <col min="44" max="44" width="10.140625" style="2" bestFit="1" customWidth="1"/>
    <col min="45" max="45" width="10.5703125" style="2" customWidth="1"/>
    <col min="46" max="46" width="10" style="2" customWidth="1"/>
    <col min="47" max="47" width="10.85546875" style="2" customWidth="1"/>
    <col min="48" max="48" width="10.140625" style="2" customWidth="1"/>
    <col min="49" max="49" width="9.7109375" style="2" customWidth="1"/>
    <col min="50" max="50" width="10.85546875" style="2" customWidth="1"/>
    <col min="51" max="51" width="11.140625" style="2" customWidth="1"/>
    <col min="52" max="52" width="9.140625" style="2"/>
    <col min="53" max="53" width="10.5703125" style="2" customWidth="1"/>
    <col min="54" max="54" width="9.85546875" style="2" customWidth="1"/>
    <col min="55" max="55" width="10.85546875" style="2" customWidth="1"/>
    <col min="56" max="56" width="10.28515625" style="2" customWidth="1"/>
    <col min="57" max="57" width="8.5703125" style="2" customWidth="1"/>
    <col min="58" max="58" width="10.42578125" style="2" customWidth="1"/>
    <col min="59" max="60" width="9.85546875" style="2" customWidth="1"/>
    <col min="61" max="61" width="9.28515625" style="2" customWidth="1"/>
    <col min="62" max="62" width="9" style="2" customWidth="1"/>
    <col min="63" max="63" width="10.42578125" style="2" customWidth="1"/>
    <col min="64" max="64" width="11.28515625" style="2" customWidth="1"/>
    <col min="65" max="65" width="9.85546875" style="2" customWidth="1"/>
    <col min="66" max="66" width="10.42578125" style="2" customWidth="1"/>
    <col min="67" max="67" width="9.7109375" style="2" customWidth="1"/>
    <col min="68" max="68" width="11.140625" style="2" customWidth="1"/>
    <col min="69" max="69" width="10.42578125" style="2" customWidth="1"/>
    <col min="70" max="70" width="10" style="2" customWidth="1"/>
    <col min="71" max="71" width="10.140625" style="2" customWidth="1"/>
    <col min="72" max="72" width="10.7109375" style="2" customWidth="1"/>
    <col min="73" max="73" width="11.140625" style="2" customWidth="1"/>
    <col min="74" max="74" width="9.5703125" style="2" customWidth="1"/>
    <col min="75" max="75" width="11.28515625" style="2" customWidth="1"/>
    <col min="76" max="76" width="11" style="2" customWidth="1"/>
    <col min="77" max="77" width="9.85546875" style="2" customWidth="1"/>
    <col min="78" max="78" width="10.7109375" style="2" customWidth="1"/>
    <col min="79" max="79" width="10.28515625" style="2" customWidth="1"/>
    <col min="80" max="80" width="10.5703125" style="2" customWidth="1"/>
    <col min="81" max="81" width="9.5703125" style="2" customWidth="1"/>
    <col min="82" max="82" width="8.42578125" style="2" customWidth="1"/>
    <col min="83" max="83" width="10.7109375" style="2" customWidth="1"/>
    <col min="84" max="84" width="10.140625" style="2" customWidth="1"/>
    <col min="85" max="85" width="10.7109375" style="2" customWidth="1"/>
    <col min="86" max="86" width="9.85546875" style="2" customWidth="1"/>
    <col min="87" max="87" width="9.7109375" style="2" customWidth="1"/>
    <col min="88" max="88" width="10" style="2" customWidth="1"/>
    <col min="89" max="89" width="11.42578125" style="2" customWidth="1"/>
    <col min="90" max="90" width="10" style="2" customWidth="1"/>
    <col min="91" max="91" width="9.7109375" style="2" customWidth="1"/>
    <col min="92" max="92" width="10" style="2" customWidth="1"/>
    <col min="93" max="93" width="10.7109375" style="2" customWidth="1"/>
    <col min="94" max="94" width="9.28515625" style="2" customWidth="1"/>
    <col min="95" max="95" width="10.7109375" style="2" customWidth="1"/>
    <col min="96" max="96" width="10.140625" style="2" customWidth="1"/>
    <col min="97" max="97" width="10.85546875" style="2" customWidth="1"/>
    <col min="98" max="98" width="11.140625" style="2" customWidth="1"/>
    <col min="99" max="101" width="10.28515625" style="2" customWidth="1"/>
    <col min="102" max="102" width="9.5703125" style="2" customWidth="1"/>
    <col min="103" max="103" width="10.28515625" style="2" customWidth="1"/>
    <col min="104" max="104" width="9.5703125" style="2" customWidth="1"/>
    <col min="105" max="105" width="10.140625" style="2" customWidth="1"/>
    <col min="106" max="106" width="8.85546875" style="2" customWidth="1"/>
    <col min="107" max="107" width="9.42578125" style="2" customWidth="1"/>
    <col min="108" max="108" width="10.28515625" style="2" customWidth="1"/>
    <col min="109" max="109" width="9.85546875" style="2" customWidth="1"/>
    <col min="110" max="110" width="9.5703125" style="2" customWidth="1"/>
    <col min="111" max="111" width="9" style="2" customWidth="1"/>
    <col min="112" max="112" width="9.7109375" style="2" customWidth="1"/>
    <col min="113" max="114" width="10.42578125" style="2" customWidth="1"/>
    <col min="115" max="115" width="10.140625" style="2" customWidth="1"/>
    <col min="116" max="116" width="10.28515625" style="2" customWidth="1"/>
    <col min="117" max="117" width="11.5703125" style="2" customWidth="1"/>
    <col min="118" max="119" width="11.140625" style="2" customWidth="1"/>
    <col min="120" max="120" width="9.85546875" style="2" customWidth="1"/>
    <col min="121" max="121" width="8.5703125" style="2" customWidth="1"/>
    <col min="122" max="122" width="10.28515625" style="2" customWidth="1"/>
    <col min="123" max="123" width="10" style="2" customWidth="1"/>
    <col min="124" max="124" width="9.85546875" style="2" customWidth="1"/>
    <col min="125" max="125" width="10.140625" style="2" customWidth="1"/>
    <col min="126" max="126" width="11.7109375" style="2" customWidth="1"/>
    <col min="127" max="127" width="8.140625" style="2" customWidth="1"/>
    <col min="128" max="128" width="8.5703125" style="2" customWidth="1"/>
    <col min="129" max="129" width="10.140625" style="2" customWidth="1"/>
    <col min="130" max="130" width="11.7109375" style="2" customWidth="1"/>
    <col min="131" max="131" width="9.5703125" style="2" customWidth="1"/>
    <col min="132" max="132" width="9.42578125" style="2" customWidth="1"/>
    <col min="133" max="133" width="12.28515625" style="2" customWidth="1"/>
    <col min="134" max="134" width="11.42578125" style="2" customWidth="1"/>
    <col min="135" max="135" width="11.5703125" style="2" customWidth="1"/>
    <col min="136" max="136" width="11.42578125" style="2" customWidth="1"/>
    <col min="137" max="137" width="14.28515625" style="2" customWidth="1"/>
    <col min="138" max="138" width="10.5703125" style="2" customWidth="1"/>
    <col min="139" max="139" width="11.7109375" style="2" bestFit="1" customWidth="1"/>
    <col min="140" max="140" width="11" style="2" customWidth="1"/>
    <col min="141" max="141" width="12" style="2" customWidth="1"/>
    <col min="142" max="142" width="10.85546875" style="2" customWidth="1"/>
    <col min="143" max="143" width="11.5703125" style="2" customWidth="1"/>
    <col min="144" max="144" width="9.85546875" style="2" customWidth="1"/>
    <col min="145" max="145" width="10.5703125" style="2" customWidth="1"/>
    <col min="146" max="147" width="9.140625" style="2"/>
    <col min="148" max="148" width="10.5703125" style="2" customWidth="1"/>
    <col min="149" max="149" width="9.85546875" style="2" customWidth="1"/>
    <col min="150" max="150" width="10.140625" style="2" customWidth="1"/>
    <col min="151" max="152" width="9.140625" style="2"/>
    <col min="153" max="153" width="10.5703125" style="2" customWidth="1"/>
    <col min="154" max="154" width="10" style="2" customWidth="1"/>
    <col min="155" max="155" width="9.85546875" style="2" customWidth="1"/>
    <col min="156" max="157" width="9.140625" style="2"/>
    <col min="158" max="158" width="10.42578125" style="2" customWidth="1"/>
    <col min="159" max="159" width="9.7109375" style="2" customWidth="1"/>
    <col min="160" max="160" width="10" style="2" customWidth="1"/>
    <col min="161" max="162" width="9.140625" style="2"/>
    <col min="163" max="163" width="10.140625" style="2" customWidth="1"/>
    <col min="164" max="164" width="12.7109375" style="2" bestFit="1" customWidth="1"/>
    <col min="165" max="16384" width="9.140625" style="2"/>
  </cols>
  <sheetData>
    <row r="1" spans="1:165" ht="15">
      <c r="A1" s="144" t="s">
        <v>530</v>
      </c>
      <c r="B1" s="144"/>
    </row>
    <row r="2" spans="1:165" ht="15">
      <c r="A2" s="144" t="s">
        <v>537</v>
      </c>
      <c r="B2" s="144"/>
    </row>
    <row r="3" spans="1:165" ht="15">
      <c r="A3" s="147"/>
      <c r="B3" s="99" t="s">
        <v>535</v>
      </c>
      <c r="C3" s="89"/>
      <c r="D3" s="89"/>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row>
    <row r="4" spans="1:165" ht="12.75" customHeight="1">
      <c r="E4" s="136"/>
      <c r="F4" s="137" t="s">
        <v>0</v>
      </c>
      <c r="G4" s="145"/>
      <c r="H4" s="145"/>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6"/>
      <c r="EJ4" s="146"/>
      <c r="EK4" s="146"/>
      <c r="EL4" s="146"/>
      <c r="EM4" s="146"/>
      <c r="EN4" s="143"/>
      <c r="EO4" s="143"/>
      <c r="EP4" s="143"/>
      <c r="EQ4" s="143"/>
      <c r="ER4" s="143"/>
      <c r="ES4" s="143"/>
      <c r="ET4" s="143"/>
      <c r="EU4" s="143"/>
      <c r="EV4" s="143"/>
      <c r="EW4" s="143"/>
      <c r="EX4" s="143"/>
      <c r="EY4" s="143"/>
      <c r="EZ4" s="143"/>
      <c r="FA4" s="143"/>
      <c r="FB4" s="143"/>
      <c r="FC4" s="143"/>
      <c r="FD4" s="143"/>
      <c r="FE4" s="143"/>
      <c r="FF4" s="143"/>
      <c r="FG4" s="143"/>
    </row>
    <row r="5" spans="1:165" ht="76.5">
      <c r="A5" s="3" t="s">
        <v>1</v>
      </c>
      <c r="B5" s="3" t="s">
        <v>2</v>
      </c>
      <c r="C5" s="3" t="s">
        <v>3</v>
      </c>
      <c r="D5" s="4" t="s">
        <v>4</v>
      </c>
      <c r="E5" s="3" t="s">
        <v>5</v>
      </c>
      <c r="F5" s="3" t="s">
        <v>6</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row>
    <row r="6" spans="1:165" s="9" customFormat="1">
      <c r="A6" s="6"/>
      <c r="B6" s="7"/>
      <c r="C6" s="88"/>
      <c r="D6" s="88"/>
      <c r="E6" s="88"/>
      <c r="F6" s="8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row>
    <row r="7" spans="1:165">
      <c r="A7" s="90" t="s">
        <v>7</v>
      </c>
      <c r="B7" s="10" t="s">
        <v>8</v>
      </c>
      <c r="C7" s="11">
        <f t="shared" ref="C7:F7" si="0">+C8+C66+C110+C95+C90</f>
        <v>374152520</v>
      </c>
      <c r="D7" s="11">
        <f t="shared" si="0"/>
        <v>374152520</v>
      </c>
      <c r="E7" s="11">
        <f t="shared" si="0"/>
        <v>322469752.32999998</v>
      </c>
      <c r="F7" s="11">
        <f t="shared" si="0"/>
        <v>28022349.739999998</v>
      </c>
      <c r="G7" s="21"/>
      <c r="H7" s="2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21"/>
      <c r="FI7" s="21"/>
    </row>
    <row r="8" spans="1:165">
      <c r="A8" s="90" t="s">
        <v>9</v>
      </c>
      <c r="B8" s="10" t="s">
        <v>10</v>
      </c>
      <c r="C8" s="11">
        <f t="shared" ref="C8:F8" si="1">+C14+C52+C9</f>
        <v>308789000</v>
      </c>
      <c r="D8" s="11">
        <f t="shared" si="1"/>
        <v>308789000</v>
      </c>
      <c r="E8" s="11">
        <f t="shared" si="1"/>
        <v>282294394.32999998</v>
      </c>
      <c r="F8" s="11">
        <f t="shared" si="1"/>
        <v>27395135.739999998</v>
      </c>
      <c r="G8" s="21"/>
      <c r="H8" s="2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21"/>
      <c r="FI8" s="21"/>
    </row>
    <row r="9" spans="1:165">
      <c r="A9" s="90" t="s">
        <v>11</v>
      </c>
      <c r="B9" s="10" t="s">
        <v>12</v>
      </c>
      <c r="C9" s="11">
        <f t="shared" ref="C9:F9" si="2">+C10+C11+C12+C13</f>
        <v>0</v>
      </c>
      <c r="D9" s="11">
        <f t="shared" si="2"/>
        <v>0</v>
      </c>
      <c r="E9" s="11">
        <f t="shared" si="2"/>
        <v>0</v>
      </c>
      <c r="F9" s="11">
        <f t="shared" si="2"/>
        <v>0</v>
      </c>
      <c r="G9" s="21"/>
      <c r="H9" s="2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21"/>
      <c r="FI9" s="21"/>
    </row>
    <row r="10" spans="1:165" ht="38.25">
      <c r="A10" s="90" t="s">
        <v>13</v>
      </c>
      <c r="B10" s="10" t="s">
        <v>14</v>
      </c>
      <c r="C10" s="11"/>
      <c r="D10" s="11"/>
      <c r="E10" s="138"/>
      <c r="F10" s="138"/>
      <c r="G10" s="21"/>
      <c r="H10" s="2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21"/>
      <c r="FI10" s="21"/>
    </row>
    <row r="11" spans="1:165" ht="38.25">
      <c r="A11" s="90" t="s">
        <v>15</v>
      </c>
      <c r="B11" s="10" t="s">
        <v>16</v>
      </c>
      <c r="C11" s="11"/>
      <c r="D11" s="11"/>
      <c r="E11" s="138"/>
      <c r="F11" s="138"/>
      <c r="G11" s="21"/>
      <c r="H11" s="2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21"/>
      <c r="FI11" s="21"/>
    </row>
    <row r="12" spans="1:165" ht="25.5">
      <c r="A12" s="90" t="s">
        <v>17</v>
      </c>
      <c r="B12" s="10" t="s">
        <v>18</v>
      </c>
      <c r="C12" s="11"/>
      <c r="D12" s="11"/>
      <c r="E12" s="138"/>
      <c r="F12" s="138"/>
      <c r="G12" s="21"/>
      <c r="H12" s="2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21"/>
      <c r="FI12" s="21"/>
    </row>
    <row r="13" spans="1:165" ht="38.25">
      <c r="A13" s="90" t="s">
        <v>19</v>
      </c>
      <c r="B13" s="10" t="s">
        <v>20</v>
      </c>
      <c r="C13" s="11"/>
      <c r="D13" s="11"/>
      <c r="E13" s="138"/>
      <c r="F13" s="138"/>
      <c r="G13" s="21"/>
      <c r="H13" s="2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21"/>
      <c r="FI13" s="21"/>
    </row>
    <row r="14" spans="1:165">
      <c r="A14" s="90" t="s">
        <v>21</v>
      </c>
      <c r="B14" s="10" t="s">
        <v>22</v>
      </c>
      <c r="C14" s="11">
        <f t="shared" ref="C14:F14" si="3">+C15+C28</f>
        <v>308528000</v>
      </c>
      <c r="D14" s="11">
        <f t="shared" si="3"/>
        <v>308528000</v>
      </c>
      <c r="E14" s="11">
        <f t="shared" si="3"/>
        <v>281715614.63</v>
      </c>
      <c r="F14" s="11">
        <f t="shared" si="3"/>
        <v>26974828.719999999</v>
      </c>
      <c r="G14" s="21"/>
      <c r="H14" s="2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21"/>
      <c r="FI14" s="21"/>
    </row>
    <row r="15" spans="1:165">
      <c r="A15" s="90" t="s">
        <v>23</v>
      </c>
      <c r="B15" s="10" t="s">
        <v>24</v>
      </c>
      <c r="C15" s="11">
        <f t="shared" ref="C15:F15" si="4">+C16+C24+C27</f>
        <v>19201000</v>
      </c>
      <c r="D15" s="11">
        <f t="shared" si="4"/>
        <v>19201000</v>
      </c>
      <c r="E15" s="11">
        <f t="shared" si="4"/>
        <v>15764862.130000001</v>
      </c>
      <c r="F15" s="11">
        <f t="shared" si="4"/>
        <v>1847904.72</v>
      </c>
      <c r="G15" s="21"/>
      <c r="H15" s="2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21"/>
      <c r="FI15" s="21"/>
    </row>
    <row r="16" spans="1:165" ht="25.5">
      <c r="A16" s="90" t="s">
        <v>25</v>
      </c>
      <c r="B16" s="10" t="s">
        <v>26</v>
      </c>
      <c r="C16" s="11">
        <f t="shared" ref="C16:F16" si="5">C17+C18+C20+C21+C22+C19+C23</f>
        <v>5665000</v>
      </c>
      <c r="D16" s="11">
        <f t="shared" si="5"/>
        <v>5665000</v>
      </c>
      <c r="E16" s="11">
        <f t="shared" si="5"/>
        <v>1079830</v>
      </c>
      <c r="F16" s="11">
        <f t="shared" si="5"/>
        <v>400856</v>
      </c>
      <c r="G16" s="21"/>
      <c r="H16" s="2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21"/>
      <c r="FI16" s="21"/>
    </row>
    <row r="17" spans="1:165" ht="25.5">
      <c r="A17" s="91" t="s">
        <v>27</v>
      </c>
      <c r="B17" s="12" t="s">
        <v>28</v>
      </c>
      <c r="C17" s="11">
        <v>5665000</v>
      </c>
      <c r="D17" s="11">
        <v>5665000</v>
      </c>
      <c r="E17" s="139">
        <f>110475+57712+347187</f>
        <v>515374</v>
      </c>
      <c r="F17" s="139">
        <v>347187</v>
      </c>
      <c r="G17" s="21"/>
      <c r="H17" s="2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21"/>
      <c r="FI17" s="21"/>
    </row>
    <row r="18" spans="1:165" ht="25.5">
      <c r="A18" s="91" t="s">
        <v>29</v>
      </c>
      <c r="B18" s="12" t="s">
        <v>30</v>
      </c>
      <c r="C18" s="11"/>
      <c r="D18" s="11"/>
      <c r="E18" s="139"/>
      <c r="F18" s="139"/>
      <c r="G18" s="21"/>
      <c r="H18" s="2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21"/>
      <c r="FI18" s="21"/>
    </row>
    <row r="19" spans="1:165">
      <c r="A19" s="91" t="s">
        <v>31</v>
      </c>
      <c r="B19" s="12" t="s">
        <v>32</v>
      </c>
      <c r="C19" s="11"/>
      <c r="D19" s="11"/>
      <c r="E19" s="139"/>
      <c r="F19" s="139"/>
      <c r="G19" s="21"/>
      <c r="H19" s="2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21"/>
      <c r="FI19" s="21"/>
    </row>
    <row r="20" spans="1:165" ht="25.5">
      <c r="A20" s="91" t="s">
        <v>33</v>
      </c>
      <c r="B20" s="12" t="s">
        <v>34</v>
      </c>
      <c r="C20" s="11"/>
      <c r="D20" s="11"/>
      <c r="E20" s="139"/>
      <c r="F20" s="139"/>
      <c r="G20" s="21"/>
      <c r="H20" s="2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21"/>
      <c r="FI20" s="21"/>
    </row>
    <row r="21" spans="1:165" ht="25.5">
      <c r="A21" s="91" t="s">
        <v>35</v>
      </c>
      <c r="B21" s="12" t="s">
        <v>36</v>
      </c>
      <c r="C21" s="11"/>
      <c r="D21" s="11"/>
      <c r="E21" s="139"/>
      <c r="F21" s="139"/>
      <c r="G21" s="21"/>
      <c r="H21" s="2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21"/>
      <c r="FI21" s="21"/>
    </row>
    <row r="22" spans="1:165" ht="43.5" customHeight="1">
      <c r="A22" s="91" t="s">
        <v>37</v>
      </c>
      <c r="B22" s="92" t="s">
        <v>38</v>
      </c>
      <c r="C22" s="11"/>
      <c r="D22" s="11"/>
      <c r="E22" s="139"/>
      <c r="F22" s="139"/>
      <c r="G22" s="21"/>
      <c r="H22" s="2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21"/>
      <c r="FI22" s="21"/>
    </row>
    <row r="23" spans="1:165" ht="43.5" customHeight="1">
      <c r="A23" s="91" t="s">
        <v>39</v>
      </c>
      <c r="B23" s="92" t="s">
        <v>40</v>
      </c>
      <c r="C23" s="11"/>
      <c r="D23" s="11"/>
      <c r="E23" s="139">
        <f>459643+51144+53669</f>
        <v>564456</v>
      </c>
      <c r="F23" s="139">
        <v>53669</v>
      </c>
      <c r="G23" s="21"/>
      <c r="H23" s="2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21"/>
      <c r="FI23" s="21"/>
    </row>
    <row r="24" spans="1:165">
      <c r="A24" s="90" t="s">
        <v>41</v>
      </c>
      <c r="B24" s="93" t="s">
        <v>42</v>
      </c>
      <c r="C24" s="13">
        <f t="shared" ref="C24:F24" si="6">C25+C26</f>
        <v>0</v>
      </c>
      <c r="D24" s="13">
        <f t="shared" si="6"/>
        <v>0</v>
      </c>
      <c r="E24" s="13">
        <f t="shared" si="6"/>
        <v>53811</v>
      </c>
      <c r="F24" s="13">
        <f t="shared" si="6"/>
        <v>43078</v>
      </c>
      <c r="G24" s="21"/>
      <c r="H24" s="2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21"/>
      <c r="FI24" s="21"/>
    </row>
    <row r="25" spans="1:165">
      <c r="A25" s="91" t="s">
        <v>43</v>
      </c>
      <c r="B25" s="92" t="s">
        <v>44</v>
      </c>
      <c r="C25" s="11"/>
      <c r="D25" s="11"/>
      <c r="E25" s="139">
        <f>8946+1781+6+42574+504</f>
        <v>53811</v>
      </c>
      <c r="F25" s="139">
        <f>42574+504</f>
        <v>43078</v>
      </c>
      <c r="G25" s="21"/>
      <c r="H25" s="2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21"/>
      <c r="FI25" s="21"/>
    </row>
    <row r="26" spans="1:165" ht="25.5">
      <c r="A26" s="91" t="s">
        <v>45</v>
      </c>
      <c r="B26" s="92" t="s">
        <v>46</v>
      </c>
      <c r="C26" s="11"/>
      <c r="D26" s="11"/>
      <c r="E26" s="139"/>
      <c r="F26" s="139"/>
      <c r="G26" s="21"/>
      <c r="H26" s="2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21"/>
      <c r="FI26" s="21"/>
    </row>
    <row r="27" spans="1:165" ht="25.5">
      <c r="A27" s="91" t="s">
        <v>47</v>
      </c>
      <c r="B27" s="92" t="s">
        <v>48</v>
      </c>
      <c r="C27" s="11">
        <v>13536000</v>
      </c>
      <c r="D27" s="11">
        <v>13536000</v>
      </c>
      <c r="E27" s="139">
        <v>14631221.130000001</v>
      </c>
      <c r="F27" s="139">
        <v>1403970.72</v>
      </c>
      <c r="G27" s="21"/>
      <c r="H27" s="2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21"/>
      <c r="FI27" s="21"/>
    </row>
    <row r="28" spans="1:165">
      <c r="A28" s="90" t="s">
        <v>49</v>
      </c>
      <c r="B28" s="10" t="s">
        <v>50</v>
      </c>
      <c r="C28" s="11">
        <f t="shared" ref="C28:F28" si="7">C29+C35+C51+C36+C37+C38+C39+C40+C41+C42+C43+C44+C45+C46+C47+C48+C49+C50</f>
        <v>289327000</v>
      </c>
      <c r="D28" s="11">
        <f t="shared" si="7"/>
        <v>289327000</v>
      </c>
      <c r="E28" s="11">
        <f t="shared" si="7"/>
        <v>265950752.5</v>
      </c>
      <c r="F28" s="11">
        <f t="shared" si="7"/>
        <v>25126924</v>
      </c>
      <c r="G28" s="21"/>
      <c r="H28" s="2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21"/>
      <c r="FI28" s="21"/>
    </row>
    <row r="29" spans="1:165" ht="25.5">
      <c r="A29" s="90" t="s">
        <v>51</v>
      </c>
      <c r="B29" s="10" t="s">
        <v>52</v>
      </c>
      <c r="C29" s="11">
        <f t="shared" ref="C29:F29" si="8">C30+C31+C32+C33+C34</f>
        <v>278176000</v>
      </c>
      <c r="D29" s="11">
        <f t="shared" si="8"/>
        <v>278176000</v>
      </c>
      <c r="E29" s="11">
        <f t="shared" si="8"/>
        <v>251763721</v>
      </c>
      <c r="F29" s="11">
        <f t="shared" si="8"/>
        <v>24342432</v>
      </c>
      <c r="G29" s="21"/>
      <c r="H29" s="2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21"/>
      <c r="FI29" s="21"/>
    </row>
    <row r="30" spans="1:165" ht="25.5">
      <c r="A30" s="91" t="s">
        <v>53</v>
      </c>
      <c r="B30" s="12" t="s">
        <v>54</v>
      </c>
      <c r="C30" s="11">
        <v>278176000</v>
      </c>
      <c r="D30" s="11">
        <v>278176000</v>
      </c>
      <c r="E30" s="139">
        <f>201855424+25267260+24715198</f>
        <v>251837882</v>
      </c>
      <c r="F30" s="139">
        <v>24715198</v>
      </c>
      <c r="G30" s="21"/>
      <c r="H30" s="2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21"/>
      <c r="FI30" s="21"/>
    </row>
    <row r="31" spans="1:165" ht="38.25">
      <c r="A31" s="91" t="s">
        <v>55</v>
      </c>
      <c r="B31" s="94" t="s">
        <v>56</v>
      </c>
      <c r="C31" s="11"/>
      <c r="D31" s="11"/>
      <c r="E31" s="139">
        <f>31293+6500-372766</f>
        <v>-334973</v>
      </c>
      <c r="F31" s="139">
        <v>-372766</v>
      </c>
      <c r="G31" s="21"/>
      <c r="H31" s="2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21"/>
      <c r="FI31" s="21"/>
    </row>
    <row r="32" spans="1:165" ht="27.75" customHeight="1">
      <c r="A32" s="91" t="s">
        <v>57</v>
      </c>
      <c r="B32" s="12" t="s">
        <v>58</v>
      </c>
      <c r="C32" s="11"/>
      <c r="D32" s="11"/>
      <c r="E32" s="139"/>
      <c r="F32" s="139"/>
      <c r="G32" s="21"/>
      <c r="H32" s="2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21"/>
      <c r="FI32" s="21"/>
    </row>
    <row r="33" spans="1:165">
      <c r="A33" s="91" t="s">
        <v>59</v>
      </c>
      <c r="B33" s="12" t="s">
        <v>60</v>
      </c>
      <c r="C33" s="11"/>
      <c r="D33" s="11"/>
      <c r="E33" s="139">
        <v>260812</v>
      </c>
      <c r="F33" s="139"/>
      <c r="G33" s="21"/>
      <c r="H33" s="2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21"/>
      <c r="FI33" s="21"/>
    </row>
    <row r="34" spans="1:165">
      <c r="A34" s="91" t="s">
        <v>61</v>
      </c>
      <c r="B34" s="12" t="s">
        <v>62</v>
      </c>
      <c r="C34" s="11"/>
      <c r="D34" s="11"/>
      <c r="E34" s="139"/>
      <c r="F34" s="139"/>
      <c r="G34" s="21"/>
      <c r="H34" s="2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21"/>
      <c r="FI34" s="21"/>
    </row>
    <row r="35" spans="1:165">
      <c r="A35" s="91" t="s">
        <v>63</v>
      </c>
      <c r="B35" s="12" t="s">
        <v>64</v>
      </c>
      <c r="C35" s="11"/>
      <c r="D35" s="11"/>
      <c r="E35" s="139"/>
      <c r="F35" s="139"/>
      <c r="G35" s="21"/>
      <c r="H35" s="2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21"/>
      <c r="FI35" s="21"/>
    </row>
    <row r="36" spans="1:165" ht="25.5">
      <c r="A36" s="91" t="s">
        <v>65</v>
      </c>
      <c r="B36" s="95" t="s">
        <v>66</v>
      </c>
      <c r="C36" s="11"/>
      <c r="D36" s="11"/>
      <c r="E36" s="139"/>
      <c r="F36" s="139"/>
      <c r="G36" s="21"/>
      <c r="H36" s="2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21"/>
      <c r="FI36" s="21"/>
    </row>
    <row r="37" spans="1:165" ht="38.25">
      <c r="A37" s="91" t="s">
        <v>67</v>
      </c>
      <c r="B37" s="12" t="s">
        <v>68</v>
      </c>
      <c r="C37" s="11"/>
      <c r="D37" s="11"/>
      <c r="E37" s="139">
        <f>13+57</f>
        <v>70</v>
      </c>
      <c r="F37" s="139"/>
      <c r="G37" s="21"/>
      <c r="H37" s="2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21"/>
      <c r="FI37" s="21"/>
    </row>
    <row r="38" spans="1:165" ht="51">
      <c r="A38" s="91" t="s">
        <v>69</v>
      </c>
      <c r="B38" s="12" t="s">
        <v>70</v>
      </c>
      <c r="C38" s="11"/>
      <c r="D38" s="11"/>
      <c r="E38" s="139">
        <f>31+7</f>
        <v>38</v>
      </c>
      <c r="F38" s="139"/>
      <c r="G38" s="21"/>
      <c r="H38" s="2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21"/>
      <c r="FI38" s="21"/>
    </row>
    <row r="39" spans="1:165" ht="38.25">
      <c r="A39" s="91" t="s">
        <v>71</v>
      </c>
      <c r="B39" s="12" t="s">
        <v>72</v>
      </c>
      <c r="C39" s="11"/>
      <c r="D39" s="11"/>
      <c r="E39" s="139"/>
      <c r="F39" s="139"/>
      <c r="G39" s="21"/>
      <c r="H39" s="2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21"/>
      <c r="FI39" s="21"/>
    </row>
    <row r="40" spans="1:165" ht="38.25">
      <c r="A40" s="91" t="s">
        <v>73</v>
      </c>
      <c r="B40" s="12" t="s">
        <v>74</v>
      </c>
      <c r="C40" s="11"/>
      <c r="D40" s="11"/>
      <c r="E40" s="139"/>
      <c r="F40" s="139"/>
      <c r="G40" s="21"/>
      <c r="H40" s="2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21"/>
      <c r="FI40" s="21"/>
    </row>
    <row r="41" spans="1:165" ht="38.25">
      <c r="A41" s="91" t="s">
        <v>75</v>
      </c>
      <c r="B41" s="12" t="s">
        <v>76</v>
      </c>
      <c r="C41" s="11"/>
      <c r="D41" s="11"/>
      <c r="E41" s="139"/>
      <c r="F41" s="139"/>
      <c r="G41" s="21"/>
      <c r="H41" s="2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21"/>
      <c r="FI41" s="21"/>
    </row>
    <row r="42" spans="1:165" ht="38.25">
      <c r="A42" s="91" t="s">
        <v>77</v>
      </c>
      <c r="B42" s="12" t="s">
        <v>78</v>
      </c>
      <c r="C42" s="11"/>
      <c r="D42" s="11"/>
      <c r="E42" s="139"/>
      <c r="F42" s="139"/>
      <c r="G42" s="21"/>
      <c r="H42" s="2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21"/>
      <c r="FI42" s="21"/>
    </row>
    <row r="43" spans="1:165" ht="25.5">
      <c r="A43" s="91" t="s">
        <v>79</v>
      </c>
      <c r="B43" s="12" t="s">
        <v>80</v>
      </c>
      <c r="C43" s="11"/>
      <c r="D43" s="11"/>
      <c r="E43" s="139">
        <v>-43</v>
      </c>
      <c r="F43" s="139"/>
      <c r="G43" s="21"/>
      <c r="H43" s="2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21"/>
      <c r="FI43" s="21"/>
    </row>
    <row r="44" spans="1:165" ht="25.5">
      <c r="A44" s="91" t="s">
        <v>81</v>
      </c>
      <c r="B44" s="12" t="s">
        <v>82</v>
      </c>
      <c r="C44" s="11"/>
      <c r="D44" s="11"/>
      <c r="E44" s="139">
        <f>518+414+907</f>
        <v>1839</v>
      </c>
      <c r="F44" s="139">
        <v>907</v>
      </c>
      <c r="G44" s="21"/>
      <c r="H44" s="2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21"/>
      <c r="FI44" s="21"/>
    </row>
    <row r="45" spans="1:165">
      <c r="A45" s="91" t="s">
        <v>83</v>
      </c>
      <c r="B45" s="12" t="s">
        <v>84</v>
      </c>
      <c r="C45" s="11"/>
      <c r="D45" s="11"/>
      <c r="E45" s="139">
        <f>491282+12619+23425</f>
        <v>527326</v>
      </c>
      <c r="F45" s="139">
        <v>23425</v>
      </c>
      <c r="G45" s="21"/>
      <c r="H45" s="2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21"/>
      <c r="FI45" s="21"/>
    </row>
    <row r="46" spans="1:165">
      <c r="A46" s="91" t="s">
        <v>85</v>
      </c>
      <c r="B46" s="12" t="s">
        <v>86</v>
      </c>
      <c r="C46" s="11">
        <v>24000</v>
      </c>
      <c r="D46" s="11">
        <v>24000</v>
      </c>
      <c r="E46" s="139">
        <f>16610.5+1285+1035</f>
        <v>18930.5</v>
      </c>
      <c r="F46" s="139">
        <v>1035</v>
      </c>
      <c r="G46" s="21"/>
      <c r="H46" s="2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21"/>
      <c r="FI46" s="21"/>
    </row>
    <row r="47" spans="1:165" ht="38.25" customHeight="1">
      <c r="A47" s="96" t="s">
        <v>87</v>
      </c>
      <c r="B47" s="14" t="s">
        <v>88</v>
      </c>
      <c r="C47" s="11"/>
      <c r="D47" s="11"/>
      <c r="E47" s="139">
        <f>4736+2559+14</f>
        <v>7309</v>
      </c>
      <c r="F47" s="139">
        <v>14</v>
      </c>
      <c r="G47" s="21"/>
      <c r="H47" s="2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21"/>
      <c r="FI47" s="21"/>
    </row>
    <row r="48" spans="1:165">
      <c r="A48" s="96" t="s">
        <v>89</v>
      </c>
      <c r="B48" s="14" t="s">
        <v>90</v>
      </c>
      <c r="C48" s="11"/>
      <c r="D48" s="11"/>
      <c r="E48" s="139"/>
      <c r="F48" s="139"/>
      <c r="G48" s="21"/>
      <c r="H48" s="2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21"/>
      <c r="FI48" s="21"/>
    </row>
    <row r="49" spans="1:165" ht="25.5">
      <c r="A49" s="96" t="s">
        <v>91</v>
      </c>
      <c r="B49" s="14" t="s">
        <v>92</v>
      </c>
      <c r="C49" s="11">
        <v>274000</v>
      </c>
      <c r="D49" s="11">
        <v>274000</v>
      </c>
      <c r="E49" s="139">
        <f>452600+54189+58303</f>
        <v>565092</v>
      </c>
      <c r="F49" s="139">
        <v>58303</v>
      </c>
      <c r="G49" s="21"/>
      <c r="H49" s="2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21"/>
      <c r="FI49" s="21"/>
    </row>
    <row r="50" spans="1:165">
      <c r="A50" s="96" t="s">
        <v>93</v>
      </c>
      <c r="B50" s="14" t="s">
        <v>94</v>
      </c>
      <c r="C50" s="11">
        <v>10853000</v>
      </c>
      <c r="D50" s="11">
        <v>10853000</v>
      </c>
      <c r="E50" s="139">
        <f>11449642+916020+700808</f>
        <v>13066470</v>
      </c>
      <c r="F50" s="139">
        <v>700808</v>
      </c>
      <c r="G50" s="21"/>
      <c r="H50" s="2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21"/>
      <c r="FI50" s="21"/>
    </row>
    <row r="51" spans="1:165">
      <c r="A51" s="91" t="s">
        <v>95</v>
      </c>
      <c r="B51" s="12" t="s">
        <v>96</v>
      </c>
      <c r="C51" s="11"/>
      <c r="D51" s="11"/>
      <c r="E51" s="139"/>
      <c r="F51" s="139"/>
      <c r="G51" s="21"/>
      <c r="H51" s="2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21"/>
      <c r="FI51" s="21"/>
    </row>
    <row r="52" spans="1:165">
      <c r="A52" s="90" t="s">
        <v>97</v>
      </c>
      <c r="B52" s="10" t="s">
        <v>98</v>
      </c>
      <c r="C52" s="11">
        <f t="shared" ref="C52:F52" si="9">+C53+C58</f>
        <v>261000</v>
      </c>
      <c r="D52" s="11">
        <f t="shared" si="9"/>
        <v>261000</v>
      </c>
      <c r="E52" s="11">
        <f t="shared" si="9"/>
        <v>578779.69999999995</v>
      </c>
      <c r="F52" s="11">
        <f t="shared" si="9"/>
        <v>420307.02</v>
      </c>
      <c r="G52" s="21"/>
      <c r="H52" s="2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21"/>
      <c r="FI52" s="21"/>
    </row>
    <row r="53" spans="1:165">
      <c r="A53" s="90" t="s">
        <v>99</v>
      </c>
      <c r="B53" s="10" t="s">
        <v>100</v>
      </c>
      <c r="C53" s="11">
        <f t="shared" ref="C53:F53" si="10">+C54+C56</f>
        <v>0</v>
      </c>
      <c r="D53" s="11">
        <f t="shared" si="10"/>
        <v>0</v>
      </c>
      <c r="E53" s="11">
        <f t="shared" si="10"/>
        <v>0</v>
      </c>
      <c r="F53" s="11">
        <f t="shared" si="10"/>
        <v>0</v>
      </c>
      <c r="G53" s="21"/>
      <c r="H53" s="2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21"/>
      <c r="FI53" s="21"/>
    </row>
    <row r="54" spans="1:165">
      <c r="A54" s="90" t="s">
        <v>101</v>
      </c>
      <c r="B54" s="10" t="s">
        <v>102</v>
      </c>
      <c r="C54" s="11">
        <f t="shared" ref="C54:F54" si="11">+C55</f>
        <v>0</v>
      </c>
      <c r="D54" s="11">
        <f t="shared" si="11"/>
        <v>0</v>
      </c>
      <c r="E54" s="11">
        <f t="shared" si="11"/>
        <v>0</v>
      </c>
      <c r="F54" s="11">
        <f t="shared" si="11"/>
        <v>0</v>
      </c>
      <c r="G54" s="21"/>
      <c r="H54" s="2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21"/>
      <c r="FI54" s="21"/>
    </row>
    <row r="55" spans="1:165">
      <c r="A55" s="91" t="s">
        <v>103</v>
      </c>
      <c r="B55" s="12" t="s">
        <v>104</v>
      </c>
      <c r="C55" s="11"/>
      <c r="D55" s="11"/>
      <c r="E55" s="139"/>
      <c r="F55" s="139"/>
      <c r="G55" s="21"/>
      <c r="H55" s="2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21"/>
      <c r="FI55" s="21"/>
    </row>
    <row r="56" spans="1:165">
      <c r="A56" s="90" t="s">
        <v>105</v>
      </c>
      <c r="B56" s="10" t="s">
        <v>106</v>
      </c>
      <c r="C56" s="11">
        <f t="shared" ref="C56:F56" si="12">+C57</f>
        <v>0</v>
      </c>
      <c r="D56" s="11">
        <f t="shared" si="12"/>
        <v>0</v>
      </c>
      <c r="E56" s="11">
        <f t="shared" si="12"/>
        <v>0</v>
      </c>
      <c r="F56" s="11">
        <f t="shared" si="12"/>
        <v>0</v>
      </c>
      <c r="G56" s="21"/>
      <c r="H56" s="2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21"/>
      <c r="FI56" s="21"/>
    </row>
    <row r="57" spans="1:165">
      <c r="A57" s="91" t="s">
        <v>107</v>
      </c>
      <c r="B57" s="12" t="s">
        <v>108</v>
      </c>
      <c r="C57" s="11"/>
      <c r="D57" s="11"/>
      <c r="E57" s="139"/>
      <c r="F57" s="139"/>
      <c r="G57" s="21"/>
      <c r="H57" s="2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21"/>
      <c r="FI57" s="21"/>
    </row>
    <row r="58" spans="1:165" s="15" customFormat="1">
      <c r="A58" s="97" t="s">
        <v>109</v>
      </c>
      <c r="B58" s="10" t="s">
        <v>110</v>
      </c>
      <c r="C58" s="11">
        <f t="shared" ref="C58:F58" si="13">+C59+C64</f>
        <v>261000</v>
      </c>
      <c r="D58" s="11">
        <f t="shared" si="13"/>
        <v>261000</v>
      </c>
      <c r="E58" s="11">
        <f t="shared" si="13"/>
        <v>578779.69999999995</v>
      </c>
      <c r="F58" s="11">
        <f t="shared" si="13"/>
        <v>420307.02</v>
      </c>
      <c r="G58" s="1"/>
      <c r="H58" s="2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165">
      <c r="A59" s="90" t="s">
        <v>111</v>
      </c>
      <c r="B59" s="10" t="s">
        <v>112</v>
      </c>
      <c r="C59" s="11">
        <f t="shared" ref="C59:F59" si="14">C63+C61+C62+C60</f>
        <v>261000</v>
      </c>
      <c r="D59" s="11">
        <f t="shared" si="14"/>
        <v>261000</v>
      </c>
      <c r="E59" s="11">
        <f t="shared" si="14"/>
        <v>578779.69999999995</v>
      </c>
      <c r="F59" s="11">
        <f t="shared" si="14"/>
        <v>420307.02</v>
      </c>
      <c r="G59" s="21"/>
      <c r="H59" s="2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21"/>
      <c r="FI59" s="21"/>
    </row>
    <row r="60" spans="1:165">
      <c r="A60" s="90" t="s">
        <v>113</v>
      </c>
      <c r="B60" s="10" t="s">
        <v>114</v>
      </c>
      <c r="C60" s="11">
        <v>131000</v>
      </c>
      <c r="D60" s="11">
        <v>131000</v>
      </c>
      <c r="E60" s="11">
        <f>40670+1493+384782</f>
        <v>426945</v>
      </c>
      <c r="F60" s="11">
        <v>384782</v>
      </c>
      <c r="G60" s="21"/>
      <c r="H60" s="2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21"/>
      <c r="FI60" s="21"/>
    </row>
    <row r="61" spans="1:165">
      <c r="A61" s="16" t="s">
        <v>115</v>
      </c>
      <c r="B61" s="10" t="s">
        <v>116</v>
      </c>
      <c r="C61" s="11"/>
      <c r="D61" s="11"/>
      <c r="E61" s="11"/>
      <c r="F61" s="11"/>
      <c r="G61" s="21"/>
      <c r="H61" s="2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21"/>
      <c r="FI61" s="21"/>
    </row>
    <row r="62" spans="1:165">
      <c r="A62" s="16" t="s">
        <v>117</v>
      </c>
      <c r="B62" s="10" t="s">
        <v>118</v>
      </c>
      <c r="C62" s="11"/>
      <c r="D62" s="11"/>
      <c r="E62" s="11"/>
      <c r="F62" s="11"/>
      <c r="G62" s="21"/>
      <c r="H62" s="2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21"/>
      <c r="FI62" s="21"/>
    </row>
    <row r="63" spans="1:165">
      <c r="A63" s="91" t="s">
        <v>119</v>
      </c>
      <c r="B63" s="17" t="s">
        <v>120</v>
      </c>
      <c r="C63" s="11">
        <v>130000</v>
      </c>
      <c r="D63" s="11">
        <v>130000</v>
      </c>
      <c r="E63" s="139">
        <f>98197.1+18112.58+35525.02</f>
        <v>151834.70000000001</v>
      </c>
      <c r="F63" s="139">
        <v>35525.019999999997</v>
      </c>
      <c r="G63" s="21"/>
      <c r="H63" s="2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21"/>
      <c r="FI63" s="21"/>
    </row>
    <row r="64" spans="1:165">
      <c r="A64" s="90" t="s">
        <v>121</v>
      </c>
      <c r="B64" s="10" t="s">
        <v>122</v>
      </c>
      <c r="C64" s="11">
        <f t="shared" ref="C64:F64" si="15">C65</f>
        <v>0</v>
      </c>
      <c r="D64" s="11">
        <f t="shared" si="15"/>
        <v>0</v>
      </c>
      <c r="E64" s="11">
        <f t="shared" si="15"/>
        <v>0</v>
      </c>
      <c r="F64" s="11">
        <f t="shared" si="15"/>
        <v>0</v>
      </c>
      <c r="G64" s="21"/>
      <c r="H64" s="2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21"/>
      <c r="FI64" s="21"/>
    </row>
    <row r="65" spans="1:165">
      <c r="A65" s="91" t="s">
        <v>123</v>
      </c>
      <c r="B65" s="17" t="s">
        <v>124</v>
      </c>
      <c r="C65" s="11"/>
      <c r="D65" s="11"/>
      <c r="E65" s="139"/>
      <c r="F65" s="139"/>
      <c r="G65" s="21"/>
      <c r="H65" s="2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21"/>
      <c r="FI65" s="21"/>
    </row>
    <row r="66" spans="1:165">
      <c r="A66" s="90" t="s">
        <v>125</v>
      </c>
      <c r="B66" s="10" t="s">
        <v>126</v>
      </c>
      <c r="C66" s="11">
        <f t="shared" ref="C66:F66" si="16">+C67</f>
        <v>65363520</v>
      </c>
      <c r="D66" s="11">
        <f t="shared" si="16"/>
        <v>65363520</v>
      </c>
      <c r="E66" s="11">
        <f t="shared" si="16"/>
        <v>42490774</v>
      </c>
      <c r="F66" s="11">
        <f t="shared" si="16"/>
        <v>1041720</v>
      </c>
      <c r="G66" s="21"/>
      <c r="H66" s="2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21"/>
      <c r="FI66" s="21"/>
    </row>
    <row r="67" spans="1:165">
      <c r="A67" s="90" t="s">
        <v>127</v>
      </c>
      <c r="B67" s="10" t="s">
        <v>128</v>
      </c>
      <c r="C67" s="11">
        <f t="shared" ref="C67:F67" si="17">+C68+C81</f>
        <v>65363520</v>
      </c>
      <c r="D67" s="11">
        <f t="shared" si="17"/>
        <v>65363520</v>
      </c>
      <c r="E67" s="11">
        <f t="shared" si="17"/>
        <v>42490774</v>
      </c>
      <c r="F67" s="11">
        <f t="shared" si="17"/>
        <v>1041720</v>
      </c>
      <c r="G67" s="21"/>
      <c r="H67" s="2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21"/>
      <c r="FI67" s="21"/>
    </row>
    <row r="68" spans="1:165">
      <c r="A68" s="90" t="s">
        <v>129</v>
      </c>
      <c r="B68" s="10" t="s">
        <v>130</v>
      </c>
      <c r="C68" s="11">
        <f t="shared" ref="C68:F68" si="18">C69+C70+C71+C72+C74+C75+C76+C77+C73+C78+C79+C80</f>
        <v>65363520</v>
      </c>
      <c r="D68" s="11">
        <f t="shared" si="18"/>
        <v>65363520</v>
      </c>
      <c r="E68" s="11">
        <f t="shared" si="18"/>
        <v>42490780</v>
      </c>
      <c r="F68" s="11">
        <f t="shared" si="18"/>
        <v>1041720</v>
      </c>
      <c r="G68" s="21"/>
      <c r="H68" s="2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21"/>
      <c r="FI68" s="21"/>
    </row>
    <row r="69" spans="1:165" ht="25.5">
      <c r="A69" s="91" t="s">
        <v>131</v>
      </c>
      <c r="B69" s="17" t="s">
        <v>132</v>
      </c>
      <c r="C69" s="11"/>
      <c r="D69" s="11"/>
      <c r="E69" s="139"/>
      <c r="F69" s="139"/>
      <c r="G69" s="21"/>
      <c r="H69" s="2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21"/>
      <c r="FI69" s="21"/>
    </row>
    <row r="70" spans="1:165" ht="25.5">
      <c r="A70" s="91" t="s">
        <v>133</v>
      </c>
      <c r="B70" s="17" t="s">
        <v>134</v>
      </c>
      <c r="C70" s="11"/>
      <c r="D70" s="11"/>
      <c r="E70" s="139"/>
      <c r="F70" s="139"/>
      <c r="G70" s="21"/>
      <c r="H70" s="2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21"/>
      <c r="FI70" s="21"/>
    </row>
    <row r="71" spans="1:165" ht="25.5">
      <c r="A71" s="98" t="s">
        <v>135</v>
      </c>
      <c r="B71" s="17" t="s">
        <v>136</v>
      </c>
      <c r="C71" s="11">
        <v>44037960</v>
      </c>
      <c r="D71" s="11">
        <v>44037960</v>
      </c>
      <c r="E71" s="139">
        <v>21165220</v>
      </c>
      <c r="F71" s="139"/>
      <c r="G71" s="21"/>
      <c r="H71" s="2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21"/>
      <c r="FI71" s="21"/>
    </row>
    <row r="72" spans="1:165" ht="25.5">
      <c r="A72" s="91" t="s">
        <v>137</v>
      </c>
      <c r="B72" s="18" t="s">
        <v>138</v>
      </c>
      <c r="C72" s="11"/>
      <c r="D72" s="11"/>
      <c r="E72" s="139"/>
      <c r="F72" s="139"/>
      <c r="G72" s="21"/>
      <c r="H72" s="2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21"/>
      <c r="FI72" s="21"/>
    </row>
    <row r="73" spans="1:165">
      <c r="A73" s="91" t="s">
        <v>139</v>
      </c>
      <c r="B73" s="18" t="s">
        <v>140</v>
      </c>
      <c r="C73" s="11"/>
      <c r="D73" s="11"/>
      <c r="E73" s="139"/>
      <c r="F73" s="139"/>
      <c r="G73" s="21"/>
      <c r="H73" s="2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21"/>
      <c r="FI73" s="21"/>
    </row>
    <row r="74" spans="1:165" ht="25.5">
      <c r="A74" s="91" t="s">
        <v>141</v>
      </c>
      <c r="B74" s="18" t="s">
        <v>142</v>
      </c>
      <c r="C74" s="11"/>
      <c r="D74" s="11"/>
      <c r="E74" s="139"/>
      <c r="F74" s="139"/>
      <c r="G74" s="21"/>
      <c r="H74" s="2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21"/>
      <c r="FI74" s="21"/>
    </row>
    <row r="75" spans="1:165" ht="25.5">
      <c r="A75" s="91" t="s">
        <v>143</v>
      </c>
      <c r="B75" s="18" t="s">
        <v>144</v>
      </c>
      <c r="C75" s="11"/>
      <c r="D75" s="11"/>
      <c r="E75" s="139"/>
      <c r="F75" s="139"/>
      <c r="G75" s="21"/>
      <c r="H75" s="2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21"/>
      <c r="FI75" s="21"/>
    </row>
    <row r="76" spans="1:165" ht="25.5">
      <c r="A76" s="91" t="s">
        <v>145</v>
      </c>
      <c r="B76" s="18" t="s">
        <v>146</v>
      </c>
      <c r="C76" s="11"/>
      <c r="D76" s="11"/>
      <c r="E76" s="139"/>
      <c r="F76" s="139"/>
      <c r="G76" s="21"/>
      <c r="H76" s="2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21"/>
      <c r="FI76" s="21"/>
    </row>
    <row r="77" spans="1:165" ht="51">
      <c r="A77" s="91" t="s">
        <v>147</v>
      </c>
      <c r="B77" s="18" t="s">
        <v>148</v>
      </c>
      <c r="C77" s="11"/>
      <c r="D77" s="11"/>
      <c r="E77" s="139"/>
      <c r="F77" s="139"/>
      <c r="G77" s="21"/>
      <c r="H77" s="2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21"/>
      <c r="FI77" s="21"/>
    </row>
    <row r="78" spans="1:165" ht="25.5">
      <c r="A78" s="91" t="s">
        <v>149</v>
      </c>
      <c r="B78" s="18" t="s">
        <v>150</v>
      </c>
      <c r="C78" s="11">
        <v>11964170</v>
      </c>
      <c r="D78" s="11">
        <v>11964170</v>
      </c>
      <c r="E78" s="139">
        <f>10922450+1041720</f>
        <v>11964170</v>
      </c>
      <c r="F78" s="139">
        <v>1041720</v>
      </c>
      <c r="G78" s="21"/>
      <c r="H78" s="2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21"/>
      <c r="FI78" s="21"/>
    </row>
    <row r="79" spans="1:165" ht="25.5">
      <c r="A79" s="91" t="s">
        <v>151</v>
      </c>
      <c r="B79" s="18" t="s">
        <v>152</v>
      </c>
      <c r="C79" s="11"/>
      <c r="D79" s="11"/>
      <c r="E79" s="140"/>
      <c r="F79" s="139"/>
      <c r="G79" s="21"/>
      <c r="H79" s="2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21"/>
      <c r="FI79" s="21"/>
    </row>
    <row r="80" spans="1:165" ht="51">
      <c r="A80" s="91" t="s">
        <v>153</v>
      </c>
      <c r="B80" s="18" t="s">
        <v>154</v>
      </c>
      <c r="C80" s="11">
        <v>9361390</v>
      </c>
      <c r="D80" s="11">
        <v>9361390</v>
      </c>
      <c r="E80" s="139">
        <v>9361390</v>
      </c>
      <c r="F80" s="139"/>
      <c r="G80" s="21"/>
      <c r="H80" s="2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21"/>
      <c r="FI80" s="21"/>
    </row>
    <row r="81" spans="1:165">
      <c r="A81" s="90" t="s">
        <v>155</v>
      </c>
      <c r="B81" s="10" t="s">
        <v>156</v>
      </c>
      <c r="C81" s="11">
        <f t="shared" ref="C81:F81" si="19">+C82+C83+C84+C85+C86+C87+C88+C89</f>
        <v>0</v>
      </c>
      <c r="D81" s="11">
        <f t="shared" si="19"/>
        <v>0</v>
      </c>
      <c r="E81" s="11">
        <f t="shared" si="19"/>
        <v>-6</v>
      </c>
      <c r="F81" s="11">
        <f t="shared" si="19"/>
        <v>0</v>
      </c>
      <c r="G81" s="21"/>
      <c r="H81" s="2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21"/>
      <c r="FI81" s="21"/>
    </row>
    <row r="82" spans="1:165" ht="25.5">
      <c r="A82" s="91" t="s">
        <v>157</v>
      </c>
      <c r="B82" s="12" t="s">
        <v>158</v>
      </c>
      <c r="C82" s="11"/>
      <c r="D82" s="11"/>
      <c r="E82" s="139"/>
      <c r="F82" s="139"/>
      <c r="G82" s="21"/>
      <c r="H82" s="2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21"/>
      <c r="FI82" s="21"/>
    </row>
    <row r="83" spans="1:165" ht="25.5">
      <c r="A83" s="91" t="s">
        <v>159</v>
      </c>
      <c r="B83" s="19" t="s">
        <v>138</v>
      </c>
      <c r="C83" s="11"/>
      <c r="D83" s="11"/>
      <c r="E83" s="139"/>
      <c r="F83" s="139"/>
      <c r="G83" s="21"/>
      <c r="H83" s="2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21"/>
      <c r="FI83" s="21"/>
    </row>
    <row r="84" spans="1:165" ht="38.25">
      <c r="A84" s="91" t="s">
        <v>160</v>
      </c>
      <c r="B84" s="12" t="s">
        <v>161</v>
      </c>
      <c r="C84" s="11"/>
      <c r="D84" s="11"/>
      <c r="E84" s="139"/>
      <c r="F84" s="139"/>
      <c r="G84" s="21"/>
      <c r="H84" s="2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21"/>
      <c r="FI84" s="21"/>
    </row>
    <row r="85" spans="1:165" ht="38.25">
      <c r="A85" s="91" t="s">
        <v>162</v>
      </c>
      <c r="B85" s="12" t="s">
        <v>163</v>
      </c>
      <c r="C85" s="11"/>
      <c r="D85" s="11"/>
      <c r="E85" s="139">
        <v>-3</v>
      </c>
      <c r="F85" s="139"/>
      <c r="G85" s="21"/>
      <c r="H85" s="2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21"/>
      <c r="FI85" s="21"/>
    </row>
    <row r="86" spans="1:165" ht="25.5">
      <c r="A86" s="91" t="s">
        <v>164</v>
      </c>
      <c r="B86" s="12" t="s">
        <v>142</v>
      </c>
      <c r="C86" s="11"/>
      <c r="D86" s="11"/>
      <c r="E86" s="139"/>
      <c r="F86" s="139"/>
      <c r="G86" s="21"/>
      <c r="H86" s="2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21"/>
      <c r="FI86" s="21"/>
    </row>
    <row r="87" spans="1:165">
      <c r="A87" s="95" t="s">
        <v>165</v>
      </c>
      <c r="B87" s="12" t="s">
        <v>166</v>
      </c>
      <c r="C87" s="11"/>
      <c r="D87" s="11"/>
      <c r="E87" s="139"/>
      <c r="F87" s="139"/>
      <c r="H87" s="21"/>
      <c r="AT87" s="21"/>
      <c r="BT87" s="21"/>
      <c r="BU87" s="21"/>
      <c r="BV87" s="21"/>
      <c r="CN87" s="21"/>
    </row>
    <row r="88" spans="1:165" ht="63.75">
      <c r="A88" s="12" t="s">
        <v>167</v>
      </c>
      <c r="B88" s="20" t="s">
        <v>168</v>
      </c>
      <c r="C88" s="11"/>
      <c r="D88" s="11"/>
      <c r="E88" s="139">
        <v>-3</v>
      </c>
      <c r="F88" s="139"/>
      <c r="H88" s="21"/>
      <c r="BT88" s="21"/>
      <c r="BU88" s="21"/>
      <c r="BV88" s="21"/>
      <c r="CN88" s="21"/>
    </row>
    <row r="89" spans="1:165" ht="25.5">
      <c r="A89" s="12" t="s">
        <v>169</v>
      </c>
      <c r="B89" s="22" t="s">
        <v>170</v>
      </c>
      <c r="C89" s="11"/>
      <c r="D89" s="11"/>
      <c r="E89" s="139"/>
      <c r="F89" s="139"/>
      <c r="H89" s="21"/>
      <c r="BT89" s="21"/>
      <c r="BU89" s="21"/>
      <c r="BV89" s="21"/>
      <c r="CN89" s="21"/>
    </row>
    <row r="90" spans="1:165" ht="38.25">
      <c r="A90" s="12" t="s">
        <v>171</v>
      </c>
      <c r="B90" s="23" t="s">
        <v>172</v>
      </c>
      <c r="C90" s="13">
        <f t="shared" ref="C90:F90" si="20">C93+C91</f>
        <v>0</v>
      </c>
      <c r="D90" s="13">
        <f t="shared" si="20"/>
        <v>0</v>
      </c>
      <c r="E90" s="13">
        <f t="shared" si="20"/>
        <v>0</v>
      </c>
      <c r="F90" s="13">
        <f t="shared" si="20"/>
        <v>0</v>
      </c>
      <c r="H90" s="21"/>
      <c r="BT90" s="21"/>
      <c r="BU90" s="21"/>
      <c r="BV90" s="21"/>
      <c r="CN90" s="21"/>
    </row>
    <row r="91" spans="1:165">
      <c r="A91" s="12" t="s">
        <v>173</v>
      </c>
      <c r="B91" s="22" t="s">
        <v>174</v>
      </c>
      <c r="C91" s="13">
        <f t="shared" ref="C91:F91" si="21">C92</f>
        <v>0</v>
      </c>
      <c r="D91" s="13">
        <f t="shared" si="21"/>
        <v>0</v>
      </c>
      <c r="E91" s="13">
        <f t="shared" si="21"/>
        <v>0</v>
      </c>
      <c r="F91" s="13">
        <f t="shared" si="21"/>
        <v>0</v>
      </c>
      <c r="H91" s="21"/>
      <c r="BT91" s="21"/>
      <c r="BU91" s="21"/>
      <c r="BV91" s="21"/>
      <c r="CN91" s="21"/>
    </row>
    <row r="92" spans="1:165">
      <c r="A92" s="12" t="s">
        <v>175</v>
      </c>
      <c r="B92" s="22" t="s">
        <v>176</v>
      </c>
      <c r="C92" s="13"/>
      <c r="D92" s="13"/>
      <c r="E92" s="13"/>
      <c r="F92" s="13"/>
      <c r="H92" s="21"/>
      <c r="BT92" s="21"/>
      <c r="BU92" s="21"/>
      <c r="BV92" s="21"/>
      <c r="CN92" s="21"/>
    </row>
    <row r="93" spans="1:165">
      <c r="A93" s="12" t="s">
        <v>177</v>
      </c>
      <c r="B93" s="22" t="s">
        <v>178</v>
      </c>
      <c r="C93" s="13">
        <f t="shared" ref="C93:F93" si="22">C94</f>
        <v>0</v>
      </c>
      <c r="D93" s="13">
        <f t="shared" si="22"/>
        <v>0</v>
      </c>
      <c r="E93" s="13">
        <f t="shared" si="22"/>
        <v>0</v>
      </c>
      <c r="F93" s="13">
        <f t="shared" si="22"/>
        <v>0</v>
      </c>
      <c r="G93" s="21"/>
      <c r="H93" s="21"/>
      <c r="I93" s="21"/>
      <c r="J93" s="21"/>
      <c r="BT93" s="21"/>
      <c r="BU93" s="21"/>
      <c r="BV93" s="21"/>
      <c r="CN93" s="21"/>
    </row>
    <row r="94" spans="1:165">
      <c r="A94" s="12" t="s">
        <v>179</v>
      </c>
      <c r="B94" s="22" t="s">
        <v>180</v>
      </c>
      <c r="C94" s="11"/>
      <c r="D94" s="11"/>
      <c r="E94" s="139"/>
      <c r="F94" s="139"/>
      <c r="G94" s="21"/>
      <c r="H94" s="21"/>
      <c r="I94" s="21"/>
      <c r="J94" s="21"/>
      <c r="BT94" s="21"/>
      <c r="BU94" s="21"/>
      <c r="BV94" s="21"/>
      <c r="CN94" s="21"/>
    </row>
    <row r="95" spans="1:165" ht="38.25">
      <c r="A95" s="12" t="s">
        <v>181</v>
      </c>
      <c r="B95" s="23" t="s">
        <v>172</v>
      </c>
      <c r="C95" s="13">
        <f t="shared" ref="C95:F95" si="23">C96+C99</f>
        <v>0</v>
      </c>
      <c r="D95" s="13">
        <f t="shared" si="23"/>
        <v>0</v>
      </c>
      <c r="E95" s="13">
        <f t="shared" si="23"/>
        <v>0</v>
      </c>
      <c r="F95" s="13">
        <f t="shared" si="23"/>
        <v>0</v>
      </c>
      <c r="G95" s="21"/>
      <c r="H95" s="21"/>
      <c r="I95" s="21"/>
      <c r="J95" s="21"/>
      <c r="BT95" s="21"/>
      <c r="BU95" s="21"/>
      <c r="BV95" s="21"/>
      <c r="CN95" s="21"/>
    </row>
    <row r="96" spans="1:165">
      <c r="A96" s="12" t="s">
        <v>182</v>
      </c>
      <c r="B96" s="22" t="s">
        <v>178</v>
      </c>
      <c r="C96" s="13">
        <f t="shared" ref="C96:F96" si="24">C97+C98</f>
        <v>0</v>
      </c>
      <c r="D96" s="13">
        <f t="shared" si="24"/>
        <v>0</v>
      </c>
      <c r="E96" s="13">
        <f t="shared" si="24"/>
        <v>0</v>
      </c>
      <c r="F96" s="13">
        <f t="shared" si="24"/>
        <v>0</v>
      </c>
      <c r="G96" s="21"/>
      <c r="H96" s="21"/>
      <c r="I96" s="21"/>
      <c r="J96" s="21"/>
      <c r="BT96" s="21"/>
      <c r="BU96" s="21"/>
      <c r="BV96" s="21"/>
      <c r="CN96" s="21"/>
    </row>
    <row r="97" spans="1:92">
      <c r="A97" s="12" t="s">
        <v>183</v>
      </c>
      <c r="B97" s="22" t="s">
        <v>184</v>
      </c>
      <c r="C97" s="11"/>
      <c r="D97" s="11"/>
      <c r="E97" s="139"/>
      <c r="F97" s="139"/>
      <c r="G97" s="21"/>
      <c r="H97" s="21"/>
      <c r="I97" s="21"/>
      <c r="J97" s="21"/>
      <c r="BT97" s="21"/>
      <c r="BU97" s="21"/>
      <c r="BV97" s="21"/>
      <c r="CN97" s="21"/>
    </row>
    <row r="98" spans="1:92">
      <c r="A98" s="12" t="s">
        <v>185</v>
      </c>
      <c r="B98" s="22" t="s">
        <v>186</v>
      </c>
      <c r="C98" s="11"/>
      <c r="D98" s="11"/>
      <c r="E98" s="139"/>
      <c r="F98" s="139"/>
      <c r="G98" s="21"/>
      <c r="H98" s="21"/>
      <c r="I98" s="21"/>
      <c r="J98" s="21"/>
      <c r="BT98" s="21"/>
      <c r="BU98" s="21"/>
      <c r="BV98" s="21"/>
      <c r="CN98" s="21"/>
    </row>
    <row r="99" spans="1:92">
      <c r="A99" s="12" t="s">
        <v>187</v>
      </c>
      <c r="B99" s="23" t="s">
        <v>516</v>
      </c>
      <c r="C99" s="13">
        <f t="shared" ref="C99:F99" si="25">C100+C101</f>
        <v>0</v>
      </c>
      <c r="D99" s="13">
        <f t="shared" si="25"/>
        <v>0</v>
      </c>
      <c r="E99" s="13">
        <f t="shared" si="25"/>
        <v>0</v>
      </c>
      <c r="F99" s="13">
        <f t="shared" si="25"/>
        <v>0</v>
      </c>
      <c r="G99" s="21"/>
      <c r="H99" s="21"/>
      <c r="I99" s="21"/>
      <c r="J99" s="21"/>
      <c r="BT99" s="21"/>
      <c r="BU99" s="21"/>
      <c r="BV99" s="21"/>
      <c r="CN99" s="21"/>
    </row>
    <row r="100" spans="1:92">
      <c r="A100" s="12" t="s">
        <v>188</v>
      </c>
      <c r="B100" s="22" t="s">
        <v>184</v>
      </c>
      <c r="C100" s="11"/>
      <c r="D100" s="11"/>
      <c r="E100" s="139"/>
      <c r="F100" s="139"/>
      <c r="G100" s="21"/>
      <c r="H100" s="21"/>
      <c r="I100" s="21"/>
      <c r="J100" s="21"/>
      <c r="BT100" s="21"/>
      <c r="BU100" s="21"/>
      <c r="BV100" s="21"/>
      <c r="CN100" s="21"/>
    </row>
    <row r="101" spans="1:92">
      <c r="A101" s="12" t="s">
        <v>189</v>
      </c>
      <c r="B101" s="22" t="s">
        <v>186</v>
      </c>
      <c r="C101" s="11"/>
      <c r="D101" s="11"/>
      <c r="E101" s="139"/>
      <c r="F101" s="139"/>
      <c r="G101" s="21"/>
      <c r="H101" s="21"/>
      <c r="I101" s="21"/>
      <c r="J101" s="21"/>
      <c r="BT101" s="21"/>
      <c r="BU101" s="21"/>
      <c r="BV101" s="21"/>
      <c r="CN101" s="21"/>
    </row>
    <row r="102" spans="1:92" ht="25.5">
      <c r="A102" s="24" t="s">
        <v>190</v>
      </c>
      <c r="B102" s="25" t="s">
        <v>191</v>
      </c>
      <c r="C102" s="13">
        <f t="shared" ref="C102:F102" si="26">C103+C106</f>
        <v>0</v>
      </c>
      <c r="D102" s="13">
        <f t="shared" si="26"/>
        <v>0</v>
      </c>
      <c r="E102" s="13">
        <f t="shared" si="26"/>
        <v>0</v>
      </c>
      <c r="F102" s="13">
        <f t="shared" si="26"/>
        <v>0</v>
      </c>
      <c r="G102" s="21"/>
      <c r="H102" s="21"/>
      <c r="I102" s="21"/>
      <c r="J102" s="21"/>
      <c r="BT102" s="21"/>
      <c r="BU102" s="21"/>
      <c r="BV102" s="21"/>
      <c r="CN102" s="21"/>
    </row>
    <row r="103" spans="1:92" ht="38.25">
      <c r="A103" s="12" t="s">
        <v>192</v>
      </c>
      <c r="B103" s="25" t="s">
        <v>172</v>
      </c>
      <c r="C103" s="13">
        <f t="shared" ref="C103:F103" si="27">C104+C105</f>
        <v>0</v>
      </c>
      <c r="D103" s="13">
        <f t="shared" si="27"/>
        <v>0</v>
      </c>
      <c r="E103" s="13">
        <f t="shared" si="27"/>
        <v>0</v>
      </c>
      <c r="F103" s="13">
        <f t="shared" si="27"/>
        <v>0</v>
      </c>
      <c r="G103" s="21"/>
      <c r="H103" s="21"/>
      <c r="I103" s="21"/>
      <c r="J103" s="21"/>
      <c r="BT103" s="21"/>
      <c r="BU103" s="21"/>
      <c r="BV103" s="21"/>
      <c r="CN103" s="21"/>
    </row>
    <row r="104" spans="1:92">
      <c r="A104" s="12" t="s">
        <v>193</v>
      </c>
      <c r="B104" s="12" t="s">
        <v>194</v>
      </c>
      <c r="C104" s="13"/>
      <c r="D104" s="13"/>
      <c r="E104" s="13"/>
      <c r="F104" s="13"/>
      <c r="G104" s="21"/>
      <c r="H104" s="21"/>
      <c r="I104" s="21"/>
      <c r="J104" s="21"/>
      <c r="BT104" s="21"/>
      <c r="BU104" s="21"/>
      <c r="BV104" s="21"/>
      <c r="CN104" s="21"/>
    </row>
    <row r="105" spans="1:92" ht="26.25" customHeight="1">
      <c r="A105" s="12" t="s">
        <v>195</v>
      </c>
      <c r="B105" s="12" t="s">
        <v>196</v>
      </c>
      <c r="C105" s="13"/>
      <c r="D105" s="13"/>
      <c r="E105" s="13"/>
      <c r="F105" s="13"/>
      <c r="G105" s="21"/>
      <c r="H105" s="21"/>
      <c r="I105" s="21"/>
      <c r="J105" s="21"/>
      <c r="BT105" s="21"/>
      <c r="BU105" s="21"/>
      <c r="BV105" s="21"/>
      <c r="CN105" s="21"/>
    </row>
    <row r="106" spans="1:92">
      <c r="A106" s="28"/>
      <c r="B106" s="26" t="s">
        <v>197</v>
      </c>
      <c r="C106" s="13">
        <f t="shared" ref="C106:F108" si="28">C107</f>
        <v>0</v>
      </c>
      <c r="D106" s="13">
        <f t="shared" si="28"/>
        <v>0</v>
      </c>
      <c r="E106" s="13">
        <f t="shared" si="28"/>
        <v>0</v>
      </c>
      <c r="F106" s="13">
        <f t="shared" si="28"/>
        <v>0</v>
      </c>
      <c r="G106" s="21"/>
      <c r="H106" s="21"/>
      <c r="I106" s="21"/>
      <c r="J106" s="21"/>
      <c r="BT106" s="21"/>
      <c r="BU106" s="21"/>
      <c r="BV106" s="21"/>
      <c r="CN106" s="21"/>
    </row>
    <row r="107" spans="1:92">
      <c r="A107" s="12" t="s">
        <v>198</v>
      </c>
      <c r="B107" s="26" t="s">
        <v>199</v>
      </c>
      <c r="C107" s="13">
        <f t="shared" si="28"/>
        <v>0</v>
      </c>
      <c r="D107" s="13">
        <f t="shared" si="28"/>
        <v>0</v>
      </c>
      <c r="E107" s="13">
        <f t="shared" si="28"/>
        <v>0</v>
      </c>
      <c r="F107" s="13">
        <f t="shared" si="28"/>
        <v>0</v>
      </c>
      <c r="G107" s="21"/>
      <c r="H107" s="21"/>
      <c r="I107" s="21"/>
      <c r="J107" s="21"/>
      <c r="BT107" s="21"/>
      <c r="BU107" s="21"/>
      <c r="BV107" s="21"/>
      <c r="CN107" s="21"/>
    </row>
    <row r="108" spans="1:92" ht="25.5">
      <c r="A108" s="12" t="s">
        <v>200</v>
      </c>
      <c r="B108" s="26" t="s">
        <v>201</v>
      </c>
      <c r="C108" s="13">
        <f t="shared" si="28"/>
        <v>0</v>
      </c>
      <c r="D108" s="13">
        <f t="shared" si="28"/>
        <v>0</v>
      </c>
      <c r="E108" s="13">
        <f t="shared" si="28"/>
        <v>0</v>
      </c>
      <c r="F108" s="13">
        <f t="shared" si="28"/>
        <v>0</v>
      </c>
      <c r="G108" s="21"/>
      <c r="H108" s="21"/>
      <c r="I108" s="21"/>
      <c r="J108" s="21"/>
      <c r="BT108" s="21"/>
      <c r="BU108" s="21"/>
      <c r="BV108" s="21"/>
      <c r="CN108" s="21"/>
    </row>
    <row r="109" spans="1:92">
      <c r="A109" s="12" t="s">
        <v>202</v>
      </c>
      <c r="B109" s="27" t="s">
        <v>203</v>
      </c>
      <c r="C109" s="11"/>
      <c r="D109" s="11"/>
      <c r="E109" s="139"/>
      <c r="F109" s="13"/>
      <c r="CN109" s="21"/>
    </row>
    <row r="110" spans="1:92" ht="12" customHeight="1">
      <c r="A110" s="25" t="s">
        <v>204</v>
      </c>
      <c r="B110" s="25" t="s">
        <v>205</v>
      </c>
      <c r="C110" s="13">
        <f t="shared" ref="C110:F110" si="29">C111</f>
        <v>0</v>
      </c>
      <c r="D110" s="13">
        <f t="shared" si="29"/>
        <v>0</v>
      </c>
      <c r="E110" s="13">
        <f t="shared" si="29"/>
        <v>-2315416</v>
      </c>
      <c r="F110" s="13">
        <f t="shared" si="29"/>
        <v>-414506</v>
      </c>
      <c r="CN110" s="21"/>
    </row>
    <row r="111" spans="1:92" ht="25.5">
      <c r="A111" s="12" t="s">
        <v>206</v>
      </c>
      <c r="B111" s="12" t="s">
        <v>207</v>
      </c>
      <c r="C111" s="11"/>
      <c r="D111" s="11"/>
      <c r="E111" s="139">
        <f>-783345-1117565-414506</f>
        <v>-2315416</v>
      </c>
      <c r="F111" s="139">
        <v>-414506</v>
      </c>
      <c r="CN111" s="21"/>
    </row>
    <row r="112" spans="1:92">
      <c r="CN112" s="21"/>
    </row>
    <row r="113" spans="2:92">
      <c r="CN113" s="21"/>
    </row>
    <row r="114" spans="2:92" ht="15">
      <c r="B114" s="32" t="s">
        <v>531</v>
      </c>
      <c r="C114" s="32"/>
      <c r="D114" s="32"/>
      <c r="E114" s="32" t="s">
        <v>532</v>
      </c>
      <c r="F114" s="32"/>
      <c r="CN114" s="21"/>
    </row>
    <row r="115" spans="2:92" ht="15">
      <c r="B115" s="32" t="s">
        <v>533</v>
      </c>
      <c r="C115" s="32"/>
      <c r="D115" s="32"/>
      <c r="E115" s="32" t="s">
        <v>534</v>
      </c>
      <c r="F115" s="32"/>
      <c r="CN115" s="21"/>
    </row>
    <row r="116" spans="2:92">
      <c r="CN116" s="21"/>
    </row>
    <row r="117" spans="2:92">
      <c r="CN117" s="21"/>
    </row>
    <row r="118" spans="2:92">
      <c r="CN118" s="21"/>
    </row>
    <row r="119" spans="2:92">
      <c r="CN119" s="21"/>
    </row>
    <row r="120" spans="2:92">
      <c r="CN120" s="21"/>
    </row>
    <row r="121" spans="2:92">
      <c r="CN121" s="21"/>
    </row>
    <row r="122" spans="2:92">
      <c r="CN122" s="21"/>
    </row>
    <row r="123" spans="2:92">
      <c r="CN123" s="21"/>
    </row>
    <row r="124" spans="2:92">
      <c r="CN124" s="21"/>
    </row>
    <row r="125" spans="2:92">
      <c r="CN125" s="21"/>
    </row>
    <row r="126" spans="2:92">
      <c r="CN126" s="21"/>
    </row>
    <row r="127" spans="2:92">
      <c r="CN127" s="21"/>
    </row>
    <row r="128" spans="2:92">
      <c r="CN128" s="21"/>
    </row>
    <row r="129" spans="92:92">
      <c r="CN129" s="21"/>
    </row>
    <row r="130" spans="92:92">
      <c r="CN130" s="21"/>
    </row>
    <row r="131" spans="92:92">
      <c r="CN131" s="21"/>
    </row>
    <row r="132" spans="92:92">
      <c r="CN132" s="21"/>
    </row>
    <row r="133" spans="92:92">
      <c r="CN133" s="21"/>
    </row>
    <row r="134" spans="92:92">
      <c r="CN134" s="21"/>
    </row>
    <row r="135" spans="92:92">
      <c r="CN135" s="21"/>
    </row>
    <row r="136" spans="92:92">
      <c r="CN136" s="21"/>
    </row>
    <row r="137" spans="92:92">
      <c r="CN137" s="21"/>
    </row>
    <row r="138" spans="92:92">
      <c r="CN138" s="21"/>
    </row>
    <row r="139" spans="92:92">
      <c r="CN139" s="21"/>
    </row>
    <row r="140" spans="92:92">
      <c r="CN140" s="21"/>
    </row>
    <row r="141" spans="92:92">
      <c r="CN141" s="21"/>
    </row>
    <row r="142" spans="92:92">
      <c r="CN142" s="21"/>
    </row>
    <row r="143" spans="92:92">
      <c r="CN143" s="21"/>
    </row>
    <row r="144" spans="92:92">
      <c r="CN144" s="21"/>
    </row>
    <row r="145" spans="92:92">
      <c r="CN145" s="21"/>
    </row>
    <row r="146" spans="92:92">
      <c r="CN146" s="21"/>
    </row>
    <row r="147" spans="92:92">
      <c r="CN147" s="21"/>
    </row>
    <row r="148" spans="92:92">
      <c r="CN148" s="21"/>
    </row>
    <row r="149" spans="92:92">
      <c r="CN149" s="21"/>
    </row>
    <row r="150" spans="92:92">
      <c r="CN150" s="21"/>
    </row>
    <row r="151" spans="92:92">
      <c r="CN151" s="21"/>
    </row>
    <row r="152" spans="92:92">
      <c r="CN152" s="21"/>
    </row>
    <row r="153" spans="92:92">
      <c r="CN153" s="21"/>
    </row>
    <row r="154" spans="92:92">
      <c r="CN154" s="21"/>
    </row>
    <row r="155" spans="92:92">
      <c r="CN155" s="21"/>
    </row>
    <row r="156" spans="92:92">
      <c r="CN156" s="21"/>
    </row>
  </sheetData>
  <protectedRanges>
    <protectedRange sqref="E82:F83 C24:F24 C56:F56 E34:F36 E89:F89 C58:F58 C66:F67 C81:F81 E94:F94 E97:F98 E100:F101 E18:F22 E55:F55 E72:F77 E26:F26 E39:F42 E48:F48 E51:F51 F71 F78:F80 F87:F88" name="Zonă1" securityDescriptor="O:WDG:WDD:(A;;CC;;;AN)(A;;CC;;;AU)(A;;CC;;;WD)"/>
    <protectedRange sqref="E17:F17" name="Zonă1_1" securityDescriptor="O:WDG:WDD:(A;;CC;;;AN)(A;;CC;;;AU)(A;;CC;;;WD)"/>
    <protectedRange sqref="E23:F23" name="Zonă1_2" securityDescriptor="O:WDG:WDD:(A;;CC;;;AN)(A;;CC;;;AU)(A;;CC;;;WD)"/>
    <protectedRange sqref="E25:F25" name="Zonă1_3" securityDescriptor="O:WDG:WDD:(A;;CC;;;AN)(A;;CC;;;AU)(A;;CC;;;WD)"/>
    <protectedRange sqref="E27:F27" name="Zonă1_4" securityDescriptor="O:WDG:WDD:(A;;CC;;;AN)(A;;CC;;;AU)(A;;CC;;;WD)"/>
    <protectedRange sqref="E30:F33" name="Zonă1_5" securityDescriptor="O:WDG:WDD:(A;;CC;;;AN)(A;;CC;;;AU)(A;;CC;;;WD)"/>
    <protectedRange sqref="E37:F38" name="Zonă1_6" securityDescriptor="O:WDG:WDD:(A;;CC;;;AN)(A;;CC;;;AU)(A;;CC;;;WD)"/>
    <protectedRange sqref="E43:F45" name="Zonă1_7" securityDescriptor="O:WDG:WDD:(A;;CC;;;AN)(A;;CC;;;AU)(A;;CC;;;WD)"/>
    <protectedRange sqref="E46:F47" name="Zonă1_8" securityDescriptor="O:WDG:WDD:(A;;CC;;;AN)(A;;CC;;;AU)(A;;CC;;;WD)"/>
    <protectedRange sqref="E49:F50" name="Zonă1_9" securityDescriptor="O:WDG:WDD:(A;;CC;;;AN)(A;;CC;;;AU)(A;;CC;;;WD)"/>
    <protectedRange sqref="E63:F63" name="Zonă1_10" securityDescriptor="O:WDG:WDD:(A;;CC;;;AN)(A;;CC;;;AU)(A;;CC;;;WD)"/>
    <protectedRange sqref="E71" name="Zonă1_11" securityDescriptor="O:WDG:WDD:(A;;CC;;;AN)(A;;CC;;;AU)(A;;CC;;;WD)"/>
    <protectedRange sqref="E78:E80" name="Zonă1_12" securityDescriptor="O:WDG:WDD:(A;;CC;;;AN)(A;;CC;;;AU)(A;;CC;;;WD)"/>
    <protectedRange sqref="E87:E88" name="Zonă1_13" securityDescriptor="O:WDG:WDD:(A;;CC;;;AN)(A;;CC;;;AU)(A;;CC;;;WD)"/>
  </protectedRanges>
  <mergeCells count="34">
    <mergeCell ref="FC4:FG4"/>
    <mergeCell ref="DT4:DX4"/>
    <mergeCell ref="DY4:EC4"/>
    <mergeCell ref="ED4:EH4"/>
    <mergeCell ref="EI4:EM4"/>
    <mergeCell ref="EN4:ER4"/>
    <mergeCell ref="ES4:EW4"/>
    <mergeCell ref="CZ4:DD4"/>
    <mergeCell ref="DE4:DI4"/>
    <mergeCell ref="A1:B1"/>
    <mergeCell ref="A2:B2"/>
    <mergeCell ref="EX4:FB4"/>
    <mergeCell ref="DO4:DS4"/>
    <mergeCell ref="BL4:BP4"/>
    <mergeCell ref="BQ4:BU4"/>
    <mergeCell ref="BV4:BZ4"/>
    <mergeCell ref="CA4:CE4"/>
    <mergeCell ref="CF4:CJ4"/>
    <mergeCell ref="DJ4:DN4"/>
    <mergeCell ref="BG4:BK4"/>
    <mergeCell ref="G4:H4"/>
    <mergeCell ref="I4:M4"/>
    <mergeCell ref="N4:R4"/>
    <mergeCell ref="S4:W4"/>
    <mergeCell ref="X4:AB4"/>
    <mergeCell ref="AC4:AG4"/>
    <mergeCell ref="AH4:AL4"/>
    <mergeCell ref="AM4:AQ4"/>
    <mergeCell ref="CU4:CY4"/>
    <mergeCell ref="AR4:AV4"/>
    <mergeCell ref="AW4:BA4"/>
    <mergeCell ref="BB4:BF4"/>
    <mergeCell ref="CK4:CO4"/>
    <mergeCell ref="CP4:CT4"/>
  </mergeCells>
  <pageMargins left="0.75" right="0.75" top="1" bottom="1" header="0.5" footer="0.5"/>
  <pageSetup paperSize="9" scale="49" orientation="portrait" r:id="rId1"/>
  <headerFooter alignWithMargins="0"/>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08"/>
  <sheetViews>
    <sheetView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B17" sqref="B17"/>
    </sheetView>
  </sheetViews>
  <sheetFormatPr defaultRowHeight="15"/>
  <cols>
    <col min="1" max="1" width="14.42578125" style="30" customWidth="1"/>
    <col min="2" max="2" width="59.42578125" style="32" customWidth="1"/>
    <col min="3" max="3" width="5" style="32" bestFit="1" customWidth="1"/>
    <col min="4" max="4" width="15.5703125" style="32" customWidth="1"/>
    <col min="5" max="5" width="15.42578125" style="32" customWidth="1"/>
    <col min="6" max="6" width="15.7109375" style="32" bestFit="1" customWidth="1"/>
    <col min="7" max="7" width="15.42578125" style="32" bestFit="1" customWidth="1"/>
    <col min="8" max="8" width="17.5703125" style="32" customWidth="1"/>
    <col min="9" max="9" width="10.42578125" style="33" bestFit="1" customWidth="1"/>
    <col min="10" max="10" width="11.5703125" style="33" bestFit="1" customWidth="1"/>
    <col min="11" max="16384" width="9.140625" style="33"/>
  </cols>
  <sheetData>
    <row r="1" spans="1:11">
      <c r="A1" s="144" t="s">
        <v>530</v>
      </c>
      <c r="B1" s="144"/>
    </row>
    <row r="2" spans="1:11">
      <c r="A2" s="144" t="s">
        <v>538</v>
      </c>
      <c r="B2" s="144"/>
    </row>
    <row r="3" spans="1:11" ht="20.25">
      <c r="B3" s="100" t="s">
        <v>536</v>
      </c>
      <c r="C3" s="31"/>
    </row>
    <row r="4" spans="1:11">
      <c r="D4" s="35"/>
      <c r="E4" s="35"/>
      <c r="F4" s="36"/>
      <c r="G4" s="37"/>
      <c r="H4" s="38" t="s">
        <v>0</v>
      </c>
    </row>
    <row r="5" spans="1:11" s="42" customFormat="1" ht="75">
      <c r="A5" s="39"/>
      <c r="B5" s="40" t="s">
        <v>2</v>
      </c>
      <c r="C5" s="40"/>
      <c r="D5" s="40" t="s">
        <v>208</v>
      </c>
      <c r="E5" s="41" t="s">
        <v>209</v>
      </c>
      <c r="F5" s="41" t="s">
        <v>210</v>
      </c>
      <c r="G5" s="40" t="s">
        <v>211</v>
      </c>
      <c r="H5" s="40" t="s">
        <v>212</v>
      </c>
    </row>
    <row r="6" spans="1:11">
      <c r="A6" s="43"/>
      <c r="B6" s="44" t="s">
        <v>213</v>
      </c>
      <c r="C6" s="44"/>
      <c r="D6" s="45"/>
      <c r="E6" s="45"/>
      <c r="F6" s="45"/>
      <c r="G6" s="45"/>
      <c r="H6" s="45"/>
    </row>
    <row r="7" spans="1:11" s="50" customFormat="1" ht="16.5" customHeight="1">
      <c r="A7" s="46" t="s">
        <v>214</v>
      </c>
      <c r="B7" s="47" t="s">
        <v>215</v>
      </c>
      <c r="C7" s="102">
        <f t="shared" ref="C7:H7" si="0">+C8+C16</f>
        <v>0</v>
      </c>
      <c r="D7" s="102">
        <f t="shared" si="0"/>
        <v>570789080</v>
      </c>
      <c r="E7" s="102">
        <f t="shared" si="0"/>
        <v>554567490</v>
      </c>
      <c r="F7" s="102">
        <f t="shared" si="0"/>
        <v>554567490</v>
      </c>
      <c r="G7" s="102">
        <f t="shared" si="0"/>
        <v>550219209.15999997</v>
      </c>
      <c r="H7" s="102">
        <f t="shared" si="0"/>
        <v>46901284.090000004</v>
      </c>
      <c r="I7" s="49"/>
      <c r="J7" s="49"/>
      <c r="K7" s="49"/>
    </row>
    <row r="8" spans="1:11" s="50" customFormat="1">
      <c r="A8" s="46" t="s">
        <v>216</v>
      </c>
      <c r="B8" s="51" t="s">
        <v>217</v>
      </c>
      <c r="C8" s="102">
        <f>+C9+C10+C13+C11+C12+C15+C258+C14</f>
        <v>0</v>
      </c>
      <c r="D8" s="102">
        <f t="shared" ref="D8:H8" si="1">+D9+D10+D13+D11+D12+D15+D258+D14</f>
        <v>570659080</v>
      </c>
      <c r="E8" s="102">
        <f t="shared" si="1"/>
        <v>554437490</v>
      </c>
      <c r="F8" s="102">
        <f t="shared" si="1"/>
        <v>554437490</v>
      </c>
      <c r="G8" s="102">
        <f t="shared" si="1"/>
        <v>550219209.15999997</v>
      </c>
      <c r="H8" s="102">
        <f t="shared" si="1"/>
        <v>46901284.090000004</v>
      </c>
      <c r="I8" s="49"/>
      <c r="J8" s="49"/>
      <c r="K8" s="49"/>
    </row>
    <row r="9" spans="1:11" s="50" customFormat="1">
      <c r="A9" s="46" t="s">
        <v>218</v>
      </c>
      <c r="B9" s="51" t="s">
        <v>219</v>
      </c>
      <c r="C9" s="102">
        <f t="shared" ref="C9:H9" si="2">+C23</f>
        <v>0</v>
      </c>
      <c r="D9" s="102">
        <f t="shared" si="2"/>
        <v>4972400</v>
      </c>
      <c r="E9" s="102">
        <f t="shared" si="2"/>
        <v>4972400</v>
      </c>
      <c r="F9" s="102">
        <f t="shared" si="2"/>
        <v>4972400</v>
      </c>
      <c r="G9" s="102">
        <f t="shared" si="2"/>
        <v>4549985</v>
      </c>
      <c r="H9" s="102">
        <f t="shared" si="2"/>
        <v>408426</v>
      </c>
      <c r="I9" s="49"/>
      <c r="J9" s="49"/>
      <c r="K9" s="49"/>
    </row>
    <row r="10" spans="1:11" s="50" customFormat="1" ht="16.5" customHeight="1">
      <c r="A10" s="46" t="s">
        <v>220</v>
      </c>
      <c r="B10" s="51" t="s">
        <v>221</v>
      </c>
      <c r="C10" s="102">
        <f>+C43</f>
        <v>0</v>
      </c>
      <c r="D10" s="102">
        <f t="shared" ref="D10:H10" si="3">+D43</f>
        <v>404830350</v>
      </c>
      <c r="E10" s="102">
        <f t="shared" si="3"/>
        <v>388608760</v>
      </c>
      <c r="F10" s="102">
        <f t="shared" si="3"/>
        <v>388608760</v>
      </c>
      <c r="G10" s="102">
        <f t="shared" si="3"/>
        <v>385129425.00000006</v>
      </c>
      <c r="H10" s="102">
        <f t="shared" si="3"/>
        <v>33547649.250000004</v>
      </c>
      <c r="I10" s="49"/>
      <c r="J10" s="49"/>
      <c r="K10" s="49"/>
    </row>
    <row r="11" spans="1:11" s="50" customFormat="1">
      <c r="A11" s="46" t="s">
        <v>222</v>
      </c>
      <c r="B11" s="51" t="s">
        <v>223</v>
      </c>
      <c r="C11" s="102">
        <f>+C71</f>
        <v>0</v>
      </c>
      <c r="D11" s="102">
        <f t="shared" ref="D11:H11" si="4">+D71</f>
        <v>0</v>
      </c>
      <c r="E11" s="102">
        <f t="shared" si="4"/>
        <v>0</v>
      </c>
      <c r="F11" s="102">
        <f t="shared" si="4"/>
        <v>0</v>
      </c>
      <c r="G11" s="102">
        <f t="shared" si="4"/>
        <v>0</v>
      </c>
      <c r="H11" s="102">
        <f t="shared" si="4"/>
        <v>0</v>
      </c>
      <c r="I11" s="49"/>
      <c r="J11" s="49"/>
      <c r="K11" s="49"/>
    </row>
    <row r="12" spans="1:11" s="50" customFormat="1" ht="30">
      <c r="A12" s="46" t="s">
        <v>224</v>
      </c>
      <c r="B12" s="51" t="s">
        <v>225</v>
      </c>
      <c r="C12" s="102">
        <f>C259</f>
        <v>0</v>
      </c>
      <c r="D12" s="102">
        <f t="shared" ref="D12:H12" si="5">D259</f>
        <v>130436480</v>
      </c>
      <c r="E12" s="102">
        <f t="shared" si="5"/>
        <v>130436480</v>
      </c>
      <c r="F12" s="102">
        <f t="shared" si="5"/>
        <v>130436480</v>
      </c>
      <c r="G12" s="102">
        <f t="shared" si="5"/>
        <v>130431547</v>
      </c>
      <c r="H12" s="102">
        <f t="shared" si="5"/>
        <v>12555310</v>
      </c>
      <c r="I12" s="49"/>
      <c r="J12" s="49"/>
      <c r="K12" s="49"/>
    </row>
    <row r="13" spans="1:11" s="50" customFormat="1" ht="16.5" customHeight="1">
      <c r="A13" s="46" t="s">
        <v>226</v>
      </c>
      <c r="B13" s="51" t="s">
        <v>227</v>
      </c>
      <c r="C13" s="102">
        <f>C278</f>
        <v>0</v>
      </c>
      <c r="D13" s="102">
        <f t="shared" ref="D13:H13" si="6">D278</f>
        <v>30419850</v>
      </c>
      <c r="E13" s="102">
        <f t="shared" si="6"/>
        <v>30419850</v>
      </c>
      <c r="F13" s="102">
        <f t="shared" si="6"/>
        <v>30419850</v>
      </c>
      <c r="G13" s="102">
        <f t="shared" si="6"/>
        <v>30419735</v>
      </c>
      <c r="H13" s="102">
        <f t="shared" si="6"/>
        <v>394626</v>
      </c>
      <c r="I13" s="49"/>
      <c r="J13" s="49"/>
      <c r="K13" s="49"/>
    </row>
    <row r="14" spans="1:11" s="50" customFormat="1" ht="45">
      <c r="A14" s="46" t="s">
        <v>228</v>
      </c>
      <c r="B14" s="51" t="s">
        <v>229</v>
      </c>
      <c r="C14" s="102">
        <f>C287</f>
        <v>0</v>
      </c>
      <c r="D14" s="102">
        <f t="shared" ref="D14:H14" si="7">D287</f>
        <v>0</v>
      </c>
      <c r="E14" s="102">
        <f t="shared" si="7"/>
        <v>0</v>
      </c>
      <c r="F14" s="102">
        <f t="shared" si="7"/>
        <v>0</v>
      </c>
      <c r="G14" s="102">
        <f t="shared" si="7"/>
        <v>0</v>
      </c>
      <c r="H14" s="102">
        <f t="shared" si="7"/>
        <v>0</v>
      </c>
      <c r="I14" s="49"/>
      <c r="J14" s="49"/>
      <c r="K14" s="49"/>
    </row>
    <row r="15" spans="1:11" s="50" customFormat="1" ht="16.5" customHeight="1">
      <c r="A15" s="46" t="s">
        <v>230</v>
      </c>
      <c r="B15" s="51" t="s">
        <v>231</v>
      </c>
      <c r="C15" s="102">
        <f>C74</f>
        <v>0</v>
      </c>
      <c r="D15" s="102">
        <f t="shared" ref="D15:H15" si="8">D74</f>
        <v>0</v>
      </c>
      <c r="E15" s="102">
        <f t="shared" si="8"/>
        <v>0</v>
      </c>
      <c r="F15" s="102">
        <f t="shared" si="8"/>
        <v>0</v>
      </c>
      <c r="G15" s="102">
        <f t="shared" si="8"/>
        <v>0</v>
      </c>
      <c r="H15" s="102">
        <f t="shared" si="8"/>
        <v>0</v>
      </c>
      <c r="I15" s="49"/>
      <c r="J15" s="49"/>
      <c r="K15" s="49"/>
    </row>
    <row r="16" spans="1:11" s="50" customFormat="1" ht="16.5" customHeight="1">
      <c r="A16" s="46" t="s">
        <v>232</v>
      </c>
      <c r="B16" s="51" t="s">
        <v>233</v>
      </c>
      <c r="C16" s="102">
        <f>C77</f>
        <v>0</v>
      </c>
      <c r="D16" s="102">
        <f t="shared" ref="D16:H16" si="9">D77</f>
        <v>130000</v>
      </c>
      <c r="E16" s="102">
        <f t="shared" si="9"/>
        <v>130000</v>
      </c>
      <c r="F16" s="102">
        <f t="shared" si="9"/>
        <v>130000</v>
      </c>
      <c r="G16" s="102">
        <f t="shared" si="9"/>
        <v>0</v>
      </c>
      <c r="H16" s="102">
        <f t="shared" si="9"/>
        <v>0</v>
      </c>
      <c r="I16" s="49"/>
      <c r="J16" s="49"/>
      <c r="K16" s="49"/>
    </row>
    <row r="17" spans="1:247" s="50" customFormat="1">
      <c r="A17" s="46" t="s">
        <v>234</v>
      </c>
      <c r="B17" s="51" t="s">
        <v>235</v>
      </c>
      <c r="C17" s="102">
        <f>C78</f>
        <v>0</v>
      </c>
      <c r="D17" s="102">
        <f t="shared" ref="D17:H17" si="10">D78</f>
        <v>130000</v>
      </c>
      <c r="E17" s="102">
        <f t="shared" si="10"/>
        <v>130000</v>
      </c>
      <c r="F17" s="102">
        <f t="shared" si="10"/>
        <v>130000</v>
      </c>
      <c r="G17" s="102">
        <f t="shared" si="10"/>
        <v>0</v>
      </c>
      <c r="H17" s="102">
        <f t="shared" si="10"/>
        <v>0</v>
      </c>
      <c r="I17" s="49"/>
      <c r="J17" s="49"/>
      <c r="K17" s="49"/>
    </row>
    <row r="18" spans="1:247" s="50" customFormat="1" ht="30">
      <c r="A18" s="46" t="s">
        <v>236</v>
      </c>
      <c r="B18" s="51" t="s">
        <v>237</v>
      </c>
      <c r="C18" s="102">
        <f>C258+C286</f>
        <v>0</v>
      </c>
      <c r="D18" s="102">
        <f t="shared" ref="D18:H18" si="11">D258+D286</f>
        <v>0</v>
      </c>
      <c r="E18" s="102">
        <f t="shared" si="11"/>
        <v>0</v>
      </c>
      <c r="F18" s="102">
        <f t="shared" si="11"/>
        <v>0</v>
      </c>
      <c r="G18" s="102">
        <f t="shared" si="11"/>
        <v>-311482.84000000003</v>
      </c>
      <c r="H18" s="102">
        <f t="shared" si="11"/>
        <v>-4727.16</v>
      </c>
      <c r="I18" s="49"/>
      <c r="J18" s="49"/>
      <c r="K18" s="49"/>
    </row>
    <row r="19" spans="1:247" s="50" customFormat="1" ht="16.5" customHeight="1">
      <c r="A19" s="46" t="s">
        <v>238</v>
      </c>
      <c r="B19" s="51" t="s">
        <v>239</v>
      </c>
      <c r="C19" s="102">
        <f t="shared" ref="C19:H19" si="12">+C20+C16</f>
        <v>0</v>
      </c>
      <c r="D19" s="102">
        <f t="shared" si="12"/>
        <v>570789080</v>
      </c>
      <c r="E19" s="102">
        <f t="shared" si="12"/>
        <v>554567490</v>
      </c>
      <c r="F19" s="102">
        <f t="shared" si="12"/>
        <v>554567490</v>
      </c>
      <c r="G19" s="102">
        <f t="shared" si="12"/>
        <v>550219209.15999997</v>
      </c>
      <c r="H19" s="102">
        <f t="shared" si="12"/>
        <v>46901284.090000004</v>
      </c>
      <c r="I19" s="49"/>
      <c r="J19" s="49"/>
      <c r="K19" s="49"/>
    </row>
    <row r="20" spans="1:247" s="50" customFormat="1">
      <c r="A20" s="46" t="s">
        <v>240</v>
      </c>
      <c r="B20" s="51" t="s">
        <v>217</v>
      </c>
      <c r="C20" s="102">
        <f>C9+C10+C11+C12+C13+C15+C258+C14</f>
        <v>0</v>
      </c>
      <c r="D20" s="102">
        <f t="shared" ref="D20:H20" si="13">D9+D10+D11+D12+D13+D15+D258+D14</f>
        <v>570659080</v>
      </c>
      <c r="E20" s="102">
        <f t="shared" si="13"/>
        <v>554437490</v>
      </c>
      <c r="F20" s="102">
        <f t="shared" si="13"/>
        <v>554437490</v>
      </c>
      <c r="G20" s="102">
        <f t="shared" si="13"/>
        <v>550219209.15999997</v>
      </c>
      <c r="H20" s="102">
        <f t="shared" si="13"/>
        <v>46901284.090000004</v>
      </c>
      <c r="I20" s="49"/>
      <c r="J20" s="49"/>
      <c r="K20" s="49"/>
    </row>
    <row r="21" spans="1:247" s="50" customFormat="1" ht="16.5" customHeight="1">
      <c r="A21" s="52" t="s">
        <v>241</v>
      </c>
      <c r="B21" s="51" t="s">
        <v>242</v>
      </c>
      <c r="C21" s="102">
        <f>+C22+C77+C258</f>
        <v>0</v>
      </c>
      <c r="D21" s="102">
        <f t="shared" ref="D21:H21" si="14">+D22+D77+D258</f>
        <v>540369230</v>
      </c>
      <c r="E21" s="102">
        <f t="shared" si="14"/>
        <v>524147640</v>
      </c>
      <c r="F21" s="102">
        <f t="shared" si="14"/>
        <v>524147640</v>
      </c>
      <c r="G21" s="102">
        <f t="shared" si="14"/>
        <v>519799474.16000009</v>
      </c>
      <c r="H21" s="102">
        <f t="shared" si="14"/>
        <v>46506658.090000004</v>
      </c>
      <c r="I21" s="49"/>
      <c r="J21" s="49"/>
      <c r="K21" s="49"/>
    </row>
    <row r="22" spans="1:247" s="50" customFormat="1" ht="16.5" customHeight="1">
      <c r="A22" s="46" t="s">
        <v>243</v>
      </c>
      <c r="B22" s="51" t="s">
        <v>217</v>
      </c>
      <c r="C22" s="102">
        <f>+C23+C43+C71+C259+C74+C287</f>
        <v>0</v>
      </c>
      <c r="D22" s="102">
        <f t="shared" ref="D22:H22" si="15">+D23+D43+D71+D259+D74+D287</f>
        <v>540239230</v>
      </c>
      <c r="E22" s="102">
        <f t="shared" si="15"/>
        <v>524017640</v>
      </c>
      <c r="F22" s="102">
        <f t="shared" si="15"/>
        <v>524017640</v>
      </c>
      <c r="G22" s="102">
        <f t="shared" si="15"/>
        <v>520110957.00000006</v>
      </c>
      <c r="H22" s="102">
        <f t="shared" si="15"/>
        <v>46511385.25</v>
      </c>
      <c r="I22" s="49"/>
      <c r="J22" s="49"/>
      <c r="K22" s="49"/>
    </row>
    <row r="23" spans="1:247" s="50" customFormat="1">
      <c r="A23" s="46" t="s">
        <v>244</v>
      </c>
      <c r="B23" s="51" t="s">
        <v>219</v>
      </c>
      <c r="C23" s="102">
        <f t="shared" ref="C23:H23" si="16">+C24+C36+C34</f>
        <v>0</v>
      </c>
      <c r="D23" s="102">
        <f t="shared" si="16"/>
        <v>4972400</v>
      </c>
      <c r="E23" s="102">
        <f t="shared" si="16"/>
        <v>4972400</v>
      </c>
      <c r="F23" s="102">
        <f t="shared" si="16"/>
        <v>4972400</v>
      </c>
      <c r="G23" s="102">
        <f t="shared" si="16"/>
        <v>4549985</v>
      </c>
      <c r="H23" s="102">
        <f t="shared" si="16"/>
        <v>408426</v>
      </c>
      <c r="I23" s="49"/>
      <c r="J23" s="49"/>
      <c r="K23" s="49"/>
    </row>
    <row r="24" spans="1:247" s="50" customFormat="1" ht="16.5" customHeight="1">
      <c r="A24" s="46" t="s">
        <v>245</v>
      </c>
      <c r="B24" s="51" t="s">
        <v>246</v>
      </c>
      <c r="C24" s="102">
        <f t="shared" ref="C24:H24" si="17">C25+C28+C29+C30+C32+C26+C27+C31</f>
        <v>0</v>
      </c>
      <c r="D24" s="102">
        <f t="shared" si="17"/>
        <v>4795500</v>
      </c>
      <c r="E24" s="102">
        <f t="shared" si="17"/>
        <v>4795500</v>
      </c>
      <c r="F24" s="102">
        <f t="shared" si="17"/>
        <v>4795500</v>
      </c>
      <c r="G24" s="102">
        <f t="shared" si="17"/>
        <v>4382086</v>
      </c>
      <c r="H24" s="102">
        <f t="shared" si="17"/>
        <v>399461</v>
      </c>
      <c r="I24" s="49"/>
      <c r="J24" s="49"/>
      <c r="K24" s="49"/>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row>
    <row r="25" spans="1:247" s="50" customFormat="1" ht="16.5" customHeight="1">
      <c r="A25" s="53" t="s">
        <v>247</v>
      </c>
      <c r="B25" s="54" t="s">
        <v>248</v>
      </c>
      <c r="C25" s="103"/>
      <c r="D25" s="48">
        <v>4006680</v>
      </c>
      <c r="E25" s="48">
        <v>4006680</v>
      </c>
      <c r="F25" s="48">
        <v>4006680</v>
      </c>
      <c r="G25" s="55">
        <f>3341331+332137</f>
        <v>3673468</v>
      </c>
      <c r="H25" s="80">
        <v>332137</v>
      </c>
      <c r="I25" s="49"/>
      <c r="J25" s="49"/>
      <c r="K25" s="49"/>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row>
    <row r="26" spans="1:247" s="50" customFormat="1">
      <c r="A26" s="53" t="s">
        <v>249</v>
      </c>
      <c r="B26" s="54" t="s">
        <v>250</v>
      </c>
      <c r="C26" s="103"/>
      <c r="D26" s="48">
        <v>516690</v>
      </c>
      <c r="E26" s="48">
        <v>516690</v>
      </c>
      <c r="F26" s="48">
        <v>516690</v>
      </c>
      <c r="G26" s="55">
        <f>423572+45514</f>
        <v>469086</v>
      </c>
      <c r="H26" s="80">
        <v>45514</v>
      </c>
      <c r="I26" s="49"/>
      <c r="J26" s="49"/>
      <c r="K26" s="49"/>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row>
    <row r="27" spans="1:247" s="50" customFormat="1">
      <c r="A27" s="53" t="s">
        <v>251</v>
      </c>
      <c r="B27" s="54" t="s">
        <v>252</v>
      </c>
      <c r="C27" s="103"/>
      <c r="D27" s="48">
        <v>11040</v>
      </c>
      <c r="E27" s="48">
        <v>11040</v>
      </c>
      <c r="F27" s="48">
        <v>11040</v>
      </c>
      <c r="G27" s="55">
        <f>9070+910</f>
        <v>9980</v>
      </c>
      <c r="H27" s="80">
        <v>910</v>
      </c>
      <c r="I27" s="49"/>
      <c r="J27" s="49"/>
      <c r="K27" s="49"/>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row>
    <row r="28" spans="1:247" s="50" customFormat="1" ht="16.5" customHeight="1">
      <c r="A28" s="53" t="s">
        <v>253</v>
      </c>
      <c r="B28" s="56" t="s">
        <v>254</v>
      </c>
      <c r="C28" s="103"/>
      <c r="D28" s="48">
        <v>12890</v>
      </c>
      <c r="E28" s="48">
        <v>12890</v>
      </c>
      <c r="F28" s="48">
        <v>12890</v>
      </c>
      <c r="G28" s="55">
        <f>10656+1036</f>
        <v>11692</v>
      </c>
      <c r="H28" s="80">
        <v>1036</v>
      </c>
      <c r="I28" s="49"/>
      <c r="J28" s="49"/>
      <c r="K28" s="49"/>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row>
    <row r="29" spans="1:247" s="50" customFormat="1" ht="16.5" customHeight="1">
      <c r="A29" s="53" t="s">
        <v>255</v>
      </c>
      <c r="B29" s="56" t="s">
        <v>256</v>
      </c>
      <c r="C29" s="103"/>
      <c r="D29" s="48">
        <v>1100</v>
      </c>
      <c r="E29" s="48">
        <v>1100</v>
      </c>
      <c r="F29" s="48">
        <v>1100</v>
      </c>
      <c r="G29" s="55">
        <v>1099</v>
      </c>
      <c r="H29" s="80"/>
      <c r="I29" s="49"/>
      <c r="J29" s="49"/>
      <c r="K29" s="49"/>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row>
    <row r="30" spans="1:247" ht="16.5" customHeight="1">
      <c r="A30" s="53" t="s">
        <v>257</v>
      </c>
      <c r="B30" s="56" t="s">
        <v>258</v>
      </c>
      <c r="C30" s="103"/>
      <c r="D30" s="102"/>
      <c r="E30" s="102"/>
      <c r="F30" s="102"/>
      <c r="G30" s="80"/>
      <c r="H30" s="80"/>
      <c r="I30" s="49"/>
      <c r="J30" s="49"/>
      <c r="K30" s="49"/>
    </row>
    <row r="31" spans="1:247" ht="16.5" customHeight="1">
      <c r="A31" s="53" t="s">
        <v>259</v>
      </c>
      <c r="B31" s="56" t="s">
        <v>260</v>
      </c>
      <c r="C31" s="103"/>
      <c r="D31" s="102">
        <v>171370</v>
      </c>
      <c r="E31" s="102">
        <v>171370</v>
      </c>
      <c r="F31" s="102">
        <v>171370</v>
      </c>
      <c r="G31" s="80">
        <f>140705+15041</f>
        <v>155746</v>
      </c>
      <c r="H31" s="80">
        <v>15041</v>
      </c>
      <c r="I31" s="49"/>
      <c r="J31" s="49"/>
      <c r="K31" s="49"/>
    </row>
    <row r="32" spans="1:247" ht="16.5" customHeight="1">
      <c r="A32" s="53" t="s">
        <v>261</v>
      </c>
      <c r="B32" s="56" t="s">
        <v>262</v>
      </c>
      <c r="C32" s="103"/>
      <c r="D32" s="48">
        <v>75730</v>
      </c>
      <c r="E32" s="48">
        <v>75730</v>
      </c>
      <c r="F32" s="48">
        <v>75730</v>
      </c>
      <c r="G32" s="55">
        <f>56192+4823</f>
        <v>61015</v>
      </c>
      <c r="H32" s="55">
        <v>4823</v>
      </c>
      <c r="I32" s="49"/>
      <c r="J32" s="49"/>
      <c r="K32" s="49"/>
    </row>
    <row r="33" spans="1:247" ht="16.5" customHeight="1">
      <c r="A33" s="53"/>
      <c r="B33" s="56" t="s">
        <v>263</v>
      </c>
      <c r="C33" s="103"/>
      <c r="D33" s="48"/>
      <c r="E33" s="48"/>
      <c r="F33" s="48"/>
      <c r="G33" s="55"/>
      <c r="H33" s="55"/>
      <c r="I33" s="49"/>
      <c r="J33" s="49"/>
      <c r="K33" s="49"/>
    </row>
    <row r="34" spans="1:247" ht="16.5" customHeight="1">
      <c r="A34" s="53" t="s">
        <v>264</v>
      </c>
      <c r="B34" s="51" t="s">
        <v>265</v>
      </c>
      <c r="C34" s="103">
        <f t="shared" ref="C34:H34" si="18">C35</f>
        <v>0</v>
      </c>
      <c r="D34" s="103">
        <f t="shared" si="18"/>
        <v>69600</v>
      </c>
      <c r="E34" s="103">
        <f t="shared" si="18"/>
        <v>69600</v>
      </c>
      <c r="F34" s="103">
        <f t="shared" si="18"/>
        <v>69600</v>
      </c>
      <c r="G34" s="103">
        <f t="shared" si="18"/>
        <v>69600</v>
      </c>
      <c r="H34" s="103">
        <f t="shared" si="18"/>
        <v>0</v>
      </c>
      <c r="I34" s="49"/>
      <c r="J34" s="49"/>
      <c r="K34" s="49"/>
    </row>
    <row r="35" spans="1:247" ht="16.5" customHeight="1">
      <c r="A35" s="53" t="s">
        <v>266</v>
      </c>
      <c r="B35" s="56" t="s">
        <v>267</v>
      </c>
      <c r="C35" s="103"/>
      <c r="D35" s="48">
        <v>69600</v>
      </c>
      <c r="E35" s="48">
        <v>69600</v>
      </c>
      <c r="F35" s="48">
        <v>69600</v>
      </c>
      <c r="G35" s="55">
        <v>69600</v>
      </c>
      <c r="H35" s="55"/>
      <c r="I35" s="49"/>
      <c r="J35" s="49"/>
      <c r="K35" s="49"/>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row>
    <row r="36" spans="1:247" ht="16.5" customHeight="1">
      <c r="A36" s="46" t="s">
        <v>268</v>
      </c>
      <c r="B36" s="51" t="s">
        <v>269</v>
      </c>
      <c r="C36" s="102">
        <f>+C37+C38+C39+C40+C41+C42</f>
        <v>0</v>
      </c>
      <c r="D36" s="102">
        <f t="shared" ref="D36:H36" si="19">+D37+D38+D39+D40+D41+D42</f>
        <v>107300</v>
      </c>
      <c r="E36" s="102">
        <f t="shared" si="19"/>
        <v>107300</v>
      </c>
      <c r="F36" s="102">
        <f t="shared" si="19"/>
        <v>107300</v>
      </c>
      <c r="G36" s="102">
        <f t="shared" si="19"/>
        <v>98299</v>
      </c>
      <c r="H36" s="102">
        <f t="shared" si="19"/>
        <v>8965</v>
      </c>
      <c r="I36" s="49"/>
      <c r="J36" s="49"/>
      <c r="K36" s="49"/>
      <c r="L36" s="50"/>
    </row>
    <row r="37" spans="1:247" ht="16.5" customHeight="1">
      <c r="A37" s="53" t="s">
        <v>270</v>
      </c>
      <c r="B37" s="56" t="s">
        <v>271</v>
      </c>
      <c r="C37" s="103"/>
      <c r="D37" s="48"/>
      <c r="E37" s="48"/>
      <c r="F37" s="48"/>
      <c r="G37" s="55"/>
      <c r="H37" s="55"/>
      <c r="I37" s="49"/>
      <c r="J37" s="49"/>
      <c r="K37" s="49"/>
    </row>
    <row r="38" spans="1:247" ht="16.5" customHeight="1">
      <c r="A38" s="53" t="s">
        <v>272</v>
      </c>
      <c r="B38" s="56" t="s">
        <v>273</v>
      </c>
      <c r="C38" s="103"/>
      <c r="D38" s="48"/>
      <c r="E38" s="48"/>
      <c r="F38" s="48"/>
      <c r="G38" s="55"/>
      <c r="H38" s="55"/>
      <c r="I38" s="49"/>
      <c r="J38" s="49"/>
      <c r="K38" s="49"/>
    </row>
    <row r="39" spans="1:247" s="50" customFormat="1" ht="16.5" customHeight="1">
      <c r="A39" s="53" t="s">
        <v>274</v>
      </c>
      <c r="B39" s="56" t="s">
        <v>275</v>
      </c>
      <c r="C39" s="103"/>
      <c r="D39" s="48"/>
      <c r="E39" s="48"/>
      <c r="F39" s="48"/>
      <c r="G39" s="55"/>
      <c r="H39" s="55"/>
      <c r="I39" s="49"/>
      <c r="J39" s="49"/>
      <c r="K39" s="49"/>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row>
    <row r="40" spans="1:247" ht="16.5" customHeight="1">
      <c r="A40" s="53" t="s">
        <v>276</v>
      </c>
      <c r="B40" s="57" t="s">
        <v>277</v>
      </c>
      <c r="C40" s="103"/>
      <c r="D40" s="48"/>
      <c r="E40" s="48"/>
      <c r="F40" s="48"/>
      <c r="G40" s="55"/>
      <c r="H40" s="55"/>
      <c r="I40" s="49"/>
      <c r="J40" s="49"/>
      <c r="K40" s="49"/>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row>
    <row r="41" spans="1:247" ht="16.5" customHeight="1">
      <c r="A41" s="53" t="s">
        <v>278</v>
      </c>
      <c r="B41" s="57" t="s">
        <v>42</v>
      </c>
      <c r="C41" s="103"/>
      <c r="D41" s="48"/>
      <c r="E41" s="48"/>
      <c r="F41" s="48"/>
      <c r="G41" s="55"/>
      <c r="H41" s="55"/>
      <c r="I41" s="49"/>
      <c r="J41" s="49"/>
      <c r="K41" s="49"/>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row>
    <row r="42" spans="1:247" ht="16.5" customHeight="1">
      <c r="A42" s="53" t="s">
        <v>279</v>
      </c>
      <c r="B42" s="57" t="s">
        <v>280</v>
      </c>
      <c r="C42" s="103"/>
      <c r="D42" s="48">
        <v>107300</v>
      </c>
      <c r="E42" s="48">
        <v>107300</v>
      </c>
      <c r="F42" s="48">
        <v>107300</v>
      </c>
      <c r="G42" s="55">
        <f>89334+8965</f>
        <v>98299</v>
      </c>
      <c r="H42" s="80">
        <v>8965</v>
      </c>
      <c r="I42" s="49"/>
      <c r="J42" s="49"/>
      <c r="K42" s="49"/>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row>
    <row r="43" spans="1:247" ht="16.5" customHeight="1">
      <c r="A43" s="46" t="s">
        <v>281</v>
      </c>
      <c r="B43" s="51" t="s">
        <v>221</v>
      </c>
      <c r="C43" s="102">
        <f t="shared" ref="C43:H43" si="20">+C44+C58+C57+C60+C63+C65+C66+C68+C64+C67</f>
        <v>0</v>
      </c>
      <c r="D43" s="102">
        <f t="shared" si="20"/>
        <v>404830350</v>
      </c>
      <c r="E43" s="102">
        <f t="shared" si="20"/>
        <v>388608760</v>
      </c>
      <c r="F43" s="102">
        <f t="shared" si="20"/>
        <v>388608760</v>
      </c>
      <c r="G43" s="102">
        <f t="shared" si="20"/>
        <v>385129425.00000006</v>
      </c>
      <c r="H43" s="102">
        <f t="shared" si="20"/>
        <v>33547649.250000004</v>
      </c>
      <c r="I43" s="49"/>
      <c r="J43" s="49"/>
      <c r="K43" s="49"/>
      <c r="L43" s="50"/>
    </row>
    <row r="44" spans="1:247" ht="16.5" customHeight="1">
      <c r="A44" s="46" t="s">
        <v>282</v>
      </c>
      <c r="B44" s="51" t="s">
        <v>283</v>
      </c>
      <c r="C44" s="102">
        <f t="shared" ref="C44:H44" si="21">+C45+C46+C47+C48+C49+C50+C51+C52+C54</f>
        <v>0</v>
      </c>
      <c r="D44" s="102">
        <f t="shared" si="21"/>
        <v>404722710</v>
      </c>
      <c r="E44" s="102">
        <f t="shared" si="21"/>
        <v>388501120</v>
      </c>
      <c r="F44" s="102">
        <f t="shared" si="21"/>
        <v>388501120</v>
      </c>
      <c r="G44" s="102">
        <f t="shared" si="21"/>
        <v>385032423.69000006</v>
      </c>
      <c r="H44" s="102">
        <f t="shared" si="21"/>
        <v>33546459.250000004</v>
      </c>
      <c r="I44" s="49"/>
      <c r="J44" s="49"/>
      <c r="K44" s="49"/>
    </row>
    <row r="45" spans="1:247" s="50" customFormat="1" ht="16.5" customHeight="1">
      <c r="A45" s="53" t="s">
        <v>284</v>
      </c>
      <c r="B45" s="56" t="s">
        <v>285</v>
      </c>
      <c r="C45" s="103"/>
      <c r="D45" s="48">
        <v>20000</v>
      </c>
      <c r="E45" s="48">
        <v>20000</v>
      </c>
      <c r="F45" s="48">
        <v>20000</v>
      </c>
      <c r="G45" s="55">
        <f>18648.22+1272.27</f>
        <v>19920.490000000002</v>
      </c>
      <c r="H45" s="80">
        <v>1272.27</v>
      </c>
      <c r="I45" s="49"/>
      <c r="J45" s="49"/>
      <c r="K45" s="49"/>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row>
    <row r="46" spans="1:247" s="50" customFormat="1" ht="16.5" customHeight="1">
      <c r="A46" s="53" t="s">
        <v>286</v>
      </c>
      <c r="B46" s="56" t="s">
        <v>287</v>
      </c>
      <c r="C46" s="103"/>
      <c r="D46" s="48">
        <v>6900</v>
      </c>
      <c r="E46" s="48">
        <v>6900</v>
      </c>
      <c r="F46" s="48">
        <v>6900</v>
      </c>
      <c r="G46" s="55">
        <f>3887.03+2998.9</f>
        <v>6885.93</v>
      </c>
      <c r="H46" s="80">
        <v>2998.9</v>
      </c>
      <c r="I46" s="49"/>
      <c r="J46" s="49"/>
      <c r="K46" s="49"/>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row>
    <row r="47" spans="1:247" ht="16.5" customHeight="1">
      <c r="A47" s="53" t="s">
        <v>288</v>
      </c>
      <c r="B47" s="56" t="s">
        <v>289</v>
      </c>
      <c r="C47" s="103"/>
      <c r="D47" s="48">
        <v>75600</v>
      </c>
      <c r="E47" s="48">
        <v>75600</v>
      </c>
      <c r="F47" s="48">
        <v>75600</v>
      </c>
      <c r="G47" s="55">
        <v>59289.05</v>
      </c>
      <c r="H47" s="80"/>
      <c r="I47" s="49"/>
      <c r="J47" s="49"/>
      <c r="K47" s="49"/>
    </row>
    <row r="48" spans="1:247" ht="16.5" customHeight="1">
      <c r="A48" s="53" t="s">
        <v>290</v>
      </c>
      <c r="B48" s="56" t="s">
        <v>291</v>
      </c>
      <c r="C48" s="103"/>
      <c r="D48" s="48">
        <v>11000</v>
      </c>
      <c r="E48" s="48">
        <v>11000</v>
      </c>
      <c r="F48" s="48">
        <v>11000</v>
      </c>
      <c r="G48" s="55">
        <f>9673.78+1170.84</f>
        <v>10844.62</v>
      </c>
      <c r="H48" s="80">
        <v>1170.8399999999999</v>
      </c>
      <c r="I48" s="49"/>
      <c r="J48" s="49"/>
      <c r="K48" s="49"/>
    </row>
    <row r="49" spans="1:247" ht="16.5" customHeight="1">
      <c r="A49" s="53" t="s">
        <v>292</v>
      </c>
      <c r="B49" s="56" t="s">
        <v>293</v>
      </c>
      <c r="C49" s="103"/>
      <c r="D49" s="48">
        <v>11000</v>
      </c>
      <c r="E49" s="48">
        <v>11000</v>
      </c>
      <c r="F49" s="48">
        <v>11000</v>
      </c>
      <c r="G49" s="55">
        <f>8999.97+1979.99</f>
        <v>10979.96</v>
      </c>
      <c r="H49" s="80">
        <v>1979.99</v>
      </c>
      <c r="I49" s="49"/>
      <c r="J49" s="49"/>
      <c r="K49" s="49"/>
    </row>
    <row r="50" spans="1:247" ht="16.5" customHeight="1">
      <c r="A50" s="53" t="s">
        <v>294</v>
      </c>
      <c r="B50" s="56" t="s">
        <v>295</v>
      </c>
      <c r="C50" s="103"/>
      <c r="D50" s="48"/>
      <c r="E50" s="48"/>
      <c r="F50" s="48"/>
      <c r="G50" s="55"/>
      <c r="H50" s="80"/>
      <c r="I50" s="49"/>
      <c r="J50" s="49"/>
      <c r="K50" s="49"/>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row>
    <row r="51" spans="1:247" ht="16.5" customHeight="1">
      <c r="A51" s="53" t="s">
        <v>296</v>
      </c>
      <c r="B51" s="56" t="s">
        <v>297</v>
      </c>
      <c r="C51" s="103"/>
      <c r="D51" s="48">
        <v>25000</v>
      </c>
      <c r="E51" s="48">
        <v>25000</v>
      </c>
      <c r="F51" s="48">
        <v>25000</v>
      </c>
      <c r="G51" s="55">
        <f>21232.11+1661.41</f>
        <v>22893.52</v>
      </c>
      <c r="H51" s="80">
        <v>1661.41</v>
      </c>
      <c r="I51" s="49"/>
      <c r="J51" s="49"/>
      <c r="K51" s="49"/>
      <c r="L51" s="50"/>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row>
    <row r="52" spans="1:247" ht="16.5" customHeight="1">
      <c r="A52" s="46" t="s">
        <v>298</v>
      </c>
      <c r="B52" s="51" t="s">
        <v>299</v>
      </c>
      <c r="C52" s="104">
        <f t="shared" ref="C52:H52" si="22">+C53+C88</f>
        <v>0</v>
      </c>
      <c r="D52" s="104">
        <f t="shared" si="22"/>
        <v>404280710</v>
      </c>
      <c r="E52" s="104">
        <f t="shared" si="22"/>
        <v>388059120</v>
      </c>
      <c r="F52" s="104">
        <f t="shared" si="22"/>
        <v>388059120</v>
      </c>
      <c r="G52" s="104">
        <f t="shared" si="22"/>
        <v>384634962.72000009</v>
      </c>
      <c r="H52" s="104">
        <f t="shared" si="22"/>
        <v>33512001.490000002</v>
      </c>
      <c r="I52" s="49"/>
      <c r="J52" s="49"/>
      <c r="K52" s="49"/>
      <c r="L52" s="58"/>
    </row>
    <row r="53" spans="1:247" ht="16.5" customHeight="1">
      <c r="A53" s="59" t="s">
        <v>300</v>
      </c>
      <c r="B53" s="60" t="s">
        <v>301</v>
      </c>
      <c r="C53" s="105"/>
      <c r="D53" s="48">
        <v>86760</v>
      </c>
      <c r="E53" s="48">
        <v>86760</v>
      </c>
      <c r="F53" s="48">
        <v>86760</v>
      </c>
      <c r="G53" s="55">
        <f>71757.43+10781.26</f>
        <v>82538.689999999988</v>
      </c>
      <c r="H53" s="80">
        <v>10781.26</v>
      </c>
      <c r="I53" s="49"/>
      <c r="J53" s="49"/>
      <c r="K53" s="49"/>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row>
    <row r="54" spans="1:247" s="50" customFormat="1" ht="16.5" customHeight="1">
      <c r="A54" s="53" t="s">
        <v>302</v>
      </c>
      <c r="B54" s="56" t="s">
        <v>303</v>
      </c>
      <c r="C54" s="103"/>
      <c r="D54" s="48">
        <v>292500</v>
      </c>
      <c r="E54" s="48">
        <v>292500</v>
      </c>
      <c r="F54" s="48">
        <v>292500</v>
      </c>
      <c r="G54" s="55">
        <f>241273.05+25374.35</f>
        <v>266647.39999999997</v>
      </c>
      <c r="H54" s="80">
        <v>25374.35</v>
      </c>
      <c r="I54" s="49"/>
      <c r="J54" s="49"/>
      <c r="K54" s="49"/>
    </row>
    <row r="55" spans="1:247" s="58" customFormat="1" ht="16.5" customHeight="1">
      <c r="A55" s="53"/>
      <c r="B55" s="56" t="s">
        <v>304</v>
      </c>
      <c r="C55" s="103"/>
      <c r="D55" s="48"/>
      <c r="E55" s="48"/>
      <c r="F55" s="48"/>
      <c r="G55" s="55"/>
      <c r="H55" s="80"/>
      <c r="I55" s="49"/>
      <c r="J55" s="49"/>
      <c r="K55" s="49"/>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row>
    <row r="56" spans="1:247" ht="16.5" customHeight="1">
      <c r="A56" s="53"/>
      <c r="B56" s="56" t="s">
        <v>305</v>
      </c>
      <c r="C56" s="103"/>
      <c r="D56" s="48">
        <v>51000</v>
      </c>
      <c r="E56" s="48">
        <v>51000</v>
      </c>
      <c r="F56" s="48">
        <v>51000</v>
      </c>
      <c r="G56" s="55">
        <f>41808.1+4218.55</f>
        <v>46026.65</v>
      </c>
      <c r="H56" s="80">
        <v>4218.55</v>
      </c>
      <c r="I56" s="49"/>
      <c r="J56" s="49"/>
      <c r="K56" s="49"/>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row>
    <row r="57" spans="1:247" s="50" customFormat="1" ht="16.5" customHeight="1">
      <c r="A57" s="46" t="s">
        <v>306</v>
      </c>
      <c r="B57" s="56" t="s">
        <v>307</v>
      </c>
      <c r="C57" s="103"/>
      <c r="D57" s="48">
        <v>76000</v>
      </c>
      <c r="E57" s="48">
        <v>76000</v>
      </c>
      <c r="F57" s="48">
        <v>76000</v>
      </c>
      <c r="G57" s="55">
        <v>76000</v>
      </c>
      <c r="H57" s="80"/>
      <c r="I57" s="49"/>
      <c r="J57" s="49"/>
      <c r="K57" s="49"/>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row>
    <row r="58" spans="1:247" s="50" customFormat="1" ht="16.5" customHeight="1">
      <c r="A58" s="46" t="s">
        <v>308</v>
      </c>
      <c r="B58" s="51" t="s">
        <v>309</v>
      </c>
      <c r="C58" s="106">
        <f t="shared" ref="C58:H58" si="23">+C59</f>
        <v>0</v>
      </c>
      <c r="D58" s="106">
        <f t="shared" si="23"/>
        <v>11800</v>
      </c>
      <c r="E58" s="106">
        <f t="shared" si="23"/>
        <v>11800</v>
      </c>
      <c r="F58" s="106">
        <f t="shared" si="23"/>
        <v>11800</v>
      </c>
      <c r="G58" s="106">
        <f t="shared" si="23"/>
        <v>11795.09</v>
      </c>
      <c r="H58" s="106">
        <f t="shared" si="23"/>
        <v>0</v>
      </c>
      <c r="I58" s="49"/>
      <c r="J58" s="49"/>
      <c r="K58" s="49"/>
      <c r="L58" s="33"/>
    </row>
    <row r="59" spans="1:247" s="50" customFormat="1" ht="16.5" customHeight="1">
      <c r="A59" s="53" t="s">
        <v>310</v>
      </c>
      <c r="B59" s="56" t="s">
        <v>311</v>
      </c>
      <c r="C59" s="103"/>
      <c r="D59" s="48">
        <v>11800</v>
      </c>
      <c r="E59" s="48">
        <v>11800</v>
      </c>
      <c r="F59" s="48">
        <v>11800</v>
      </c>
      <c r="G59" s="55">
        <v>11795.09</v>
      </c>
      <c r="H59" s="55"/>
      <c r="I59" s="49"/>
      <c r="J59" s="49"/>
      <c r="K59" s="49"/>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row>
    <row r="60" spans="1:247" s="50" customFormat="1" ht="16.5" customHeight="1">
      <c r="A60" s="46" t="s">
        <v>312</v>
      </c>
      <c r="B60" s="51" t="s">
        <v>313</v>
      </c>
      <c r="C60" s="102">
        <f t="shared" ref="C60:H60" si="24">+C61+C62</f>
        <v>0</v>
      </c>
      <c r="D60" s="102">
        <f t="shared" si="24"/>
        <v>140</v>
      </c>
      <c r="E60" s="102">
        <f t="shared" si="24"/>
        <v>140</v>
      </c>
      <c r="F60" s="102">
        <f t="shared" si="24"/>
        <v>140</v>
      </c>
      <c r="G60" s="102">
        <f t="shared" si="24"/>
        <v>140</v>
      </c>
      <c r="H60" s="102">
        <f t="shared" si="24"/>
        <v>0</v>
      </c>
      <c r="I60" s="49"/>
      <c r="J60" s="49"/>
      <c r="K60" s="49"/>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row>
    <row r="61" spans="1:247" ht="16.5" customHeight="1">
      <c r="A61" s="46" t="s">
        <v>314</v>
      </c>
      <c r="B61" s="56" t="s">
        <v>315</v>
      </c>
      <c r="C61" s="103"/>
      <c r="D61" s="48">
        <v>140</v>
      </c>
      <c r="E61" s="48">
        <v>140</v>
      </c>
      <c r="F61" s="48">
        <v>140</v>
      </c>
      <c r="G61" s="55">
        <v>140</v>
      </c>
      <c r="H61" s="55"/>
      <c r="I61" s="49"/>
      <c r="J61" s="49"/>
      <c r="K61" s="49"/>
    </row>
    <row r="62" spans="1:247" s="50" customFormat="1" ht="16.5" customHeight="1">
      <c r="A62" s="46" t="s">
        <v>316</v>
      </c>
      <c r="B62" s="56" t="s">
        <v>317</v>
      </c>
      <c r="C62" s="103"/>
      <c r="D62" s="48"/>
      <c r="E62" s="48"/>
      <c r="F62" s="48"/>
      <c r="G62" s="80"/>
      <c r="H62" s="55"/>
      <c r="I62" s="49"/>
      <c r="J62" s="49"/>
      <c r="K62" s="49"/>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row>
    <row r="63" spans="1:247" ht="16.5" customHeight="1">
      <c r="A63" s="53" t="s">
        <v>318</v>
      </c>
      <c r="B63" s="56" t="s">
        <v>319</v>
      </c>
      <c r="C63" s="103"/>
      <c r="D63" s="48">
        <v>3000</v>
      </c>
      <c r="E63" s="48">
        <v>3000</v>
      </c>
      <c r="F63" s="48">
        <v>3000</v>
      </c>
      <c r="G63" s="55">
        <f>822.5+390</f>
        <v>1212.5</v>
      </c>
      <c r="H63" s="55">
        <v>390</v>
      </c>
      <c r="I63" s="49"/>
      <c r="J63" s="49"/>
      <c r="K63" s="49"/>
    </row>
    <row r="64" spans="1:247" ht="16.5" customHeight="1">
      <c r="A64" s="53" t="s">
        <v>320</v>
      </c>
      <c r="B64" s="54" t="s">
        <v>321</v>
      </c>
      <c r="C64" s="103"/>
      <c r="D64" s="102"/>
      <c r="E64" s="102"/>
      <c r="F64" s="117"/>
      <c r="G64" s="80"/>
      <c r="H64" s="55"/>
      <c r="I64" s="49"/>
      <c r="J64" s="49"/>
      <c r="K64" s="49"/>
    </row>
    <row r="65" spans="1:247" ht="16.5" customHeight="1">
      <c r="A65" s="53" t="s">
        <v>322</v>
      </c>
      <c r="B65" s="56" t="s">
        <v>323</v>
      </c>
      <c r="C65" s="103"/>
      <c r="D65" s="102"/>
      <c r="E65" s="102"/>
      <c r="F65" s="117"/>
      <c r="G65" s="80"/>
      <c r="H65" s="55"/>
      <c r="I65" s="49"/>
      <c r="J65" s="49"/>
      <c r="K65" s="49"/>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row>
    <row r="66" spans="1:247" ht="16.5" customHeight="1">
      <c r="A66" s="53" t="s">
        <v>324</v>
      </c>
      <c r="B66" s="56" t="s">
        <v>325</v>
      </c>
      <c r="C66" s="103"/>
      <c r="D66" s="48">
        <v>4000</v>
      </c>
      <c r="E66" s="48">
        <v>4000</v>
      </c>
      <c r="F66" s="48">
        <v>4000</v>
      </c>
      <c r="G66" s="55">
        <f>400+800</f>
        <v>1200</v>
      </c>
      <c r="H66" s="55">
        <v>800</v>
      </c>
      <c r="I66" s="49"/>
      <c r="J66" s="49"/>
      <c r="K66" s="49"/>
      <c r="L66" s="50"/>
    </row>
    <row r="67" spans="1:247" ht="30">
      <c r="A67" s="53" t="s">
        <v>326</v>
      </c>
      <c r="B67" s="56" t="s">
        <v>327</v>
      </c>
      <c r="C67" s="103"/>
      <c r="D67" s="48">
        <v>10500</v>
      </c>
      <c r="E67" s="48">
        <v>10500</v>
      </c>
      <c r="F67" s="48">
        <v>10500</v>
      </c>
      <c r="G67" s="55">
        <v>4500</v>
      </c>
      <c r="H67" s="55"/>
      <c r="I67" s="49"/>
      <c r="J67" s="49"/>
      <c r="K67" s="49"/>
      <c r="L67" s="50"/>
    </row>
    <row r="68" spans="1:247" ht="16.5" customHeight="1">
      <c r="A68" s="46" t="s">
        <v>328</v>
      </c>
      <c r="B68" s="51" t="s">
        <v>329</v>
      </c>
      <c r="C68" s="106">
        <f t="shared" ref="C68:H68" si="25">+C69+C70</f>
        <v>0</v>
      </c>
      <c r="D68" s="106">
        <f t="shared" si="25"/>
        <v>2200</v>
      </c>
      <c r="E68" s="106">
        <f t="shared" si="25"/>
        <v>2200</v>
      </c>
      <c r="F68" s="106">
        <f t="shared" si="25"/>
        <v>2200</v>
      </c>
      <c r="G68" s="106">
        <f t="shared" si="25"/>
        <v>2153.7199999999998</v>
      </c>
      <c r="H68" s="106">
        <f t="shared" si="25"/>
        <v>0</v>
      </c>
      <c r="I68" s="49"/>
      <c r="J68" s="49"/>
      <c r="K68" s="49"/>
    </row>
    <row r="69" spans="1:247" ht="16.5" customHeight="1">
      <c r="A69" s="53" t="s">
        <v>330</v>
      </c>
      <c r="B69" s="56" t="s">
        <v>331</v>
      </c>
      <c r="C69" s="103"/>
      <c r="D69" s="48"/>
      <c r="E69" s="48"/>
      <c r="F69" s="48"/>
      <c r="G69" s="55"/>
      <c r="H69" s="55"/>
      <c r="I69" s="49"/>
      <c r="J69" s="49"/>
      <c r="K69" s="49"/>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row>
    <row r="70" spans="1:247" s="50" customFormat="1" ht="16.5" customHeight="1">
      <c r="A70" s="53" t="s">
        <v>332</v>
      </c>
      <c r="B70" s="56" t="s">
        <v>333</v>
      </c>
      <c r="C70" s="103"/>
      <c r="D70" s="48">
        <v>2200</v>
      </c>
      <c r="E70" s="48">
        <v>2200</v>
      </c>
      <c r="F70" s="48">
        <v>2200</v>
      </c>
      <c r="G70" s="48">
        <v>2153.7199999999998</v>
      </c>
      <c r="H70" s="62"/>
      <c r="I70" s="49"/>
      <c r="J70" s="49"/>
      <c r="K70" s="49"/>
    </row>
    <row r="71" spans="1:247" ht="16.5" customHeight="1">
      <c r="A71" s="46" t="s">
        <v>334</v>
      </c>
      <c r="B71" s="51" t="s">
        <v>223</v>
      </c>
      <c r="C71" s="102">
        <f>+C72</f>
        <v>0</v>
      </c>
      <c r="D71" s="102">
        <f t="shared" ref="D71:H72" si="26">+D72</f>
        <v>0</v>
      </c>
      <c r="E71" s="102">
        <f t="shared" si="26"/>
        <v>0</v>
      </c>
      <c r="F71" s="102">
        <f t="shared" si="26"/>
        <v>0</v>
      </c>
      <c r="G71" s="102">
        <f t="shared" si="26"/>
        <v>0</v>
      </c>
      <c r="H71" s="102">
        <f t="shared" si="26"/>
        <v>0</v>
      </c>
      <c r="I71" s="49"/>
      <c r="J71" s="49"/>
      <c r="K71" s="49"/>
      <c r="L71" s="50"/>
    </row>
    <row r="72" spans="1:247" ht="16.5" customHeight="1">
      <c r="A72" s="63" t="s">
        <v>335</v>
      </c>
      <c r="B72" s="51" t="s">
        <v>336</v>
      </c>
      <c r="C72" s="102">
        <f>+C73</f>
        <v>0</v>
      </c>
      <c r="D72" s="102">
        <f t="shared" si="26"/>
        <v>0</v>
      </c>
      <c r="E72" s="102">
        <f t="shared" si="26"/>
        <v>0</v>
      </c>
      <c r="F72" s="102">
        <f t="shared" si="26"/>
        <v>0</v>
      </c>
      <c r="G72" s="102">
        <f t="shared" si="26"/>
        <v>0</v>
      </c>
      <c r="H72" s="102">
        <f t="shared" si="26"/>
        <v>0</v>
      </c>
      <c r="I72" s="49"/>
      <c r="J72" s="49"/>
      <c r="K72" s="49"/>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row>
    <row r="73" spans="1:247" s="50" customFormat="1" ht="16.5" customHeight="1">
      <c r="A73" s="63" t="s">
        <v>337</v>
      </c>
      <c r="B73" s="56" t="s">
        <v>338</v>
      </c>
      <c r="C73" s="103"/>
      <c r="D73" s="48"/>
      <c r="E73" s="48"/>
      <c r="F73" s="48"/>
      <c r="G73" s="55"/>
      <c r="H73" s="55"/>
      <c r="I73" s="49"/>
      <c r="J73" s="49"/>
      <c r="K73" s="49"/>
    </row>
    <row r="74" spans="1:247" s="50" customFormat="1" ht="16.5" customHeight="1">
      <c r="A74" s="63" t="s">
        <v>339</v>
      </c>
      <c r="B74" s="64" t="s">
        <v>231</v>
      </c>
      <c r="C74" s="103">
        <f t="shared" ref="C74:H74" si="27">C75+C76</f>
        <v>0</v>
      </c>
      <c r="D74" s="103">
        <f t="shared" si="27"/>
        <v>0</v>
      </c>
      <c r="E74" s="103">
        <f t="shared" si="27"/>
        <v>0</v>
      </c>
      <c r="F74" s="103">
        <f t="shared" si="27"/>
        <v>0</v>
      </c>
      <c r="G74" s="103">
        <f t="shared" si="27"/>
        <v>0</v>
      </c>
      <c r="H74" s="103">
        <f t="shared" si="27"/>
        <v>0</v>
      </c>
      <c r="I74" s="49"/>
      <c r="J74" s="49"/>
      <c r="K74" s="49"/>
    </row>
    <row r="75" spans="1:247" s="50" customFormat="1" ht="16.5" customHeight="1">
      <c r="A75" s="63" t="s">
        <v>340</v>
      </c>
      <c r="B75" s="65" t="s">
        <v>341</v>
      </c>
      <c r="C75" s="103"/>
      <c r="D75" s="48"/>
      <c r="E75" s="48"/>
      <c r="F75" s="48"/>
      <c r="G75" s="55"/>
      <c r="H75" s="55"/>
      <c r="I75" s="49"/>
      <c r="J75" s="49"/>
      <c r="K75" s="49"/>
    </row>
    <row r="76" spans="1:247" ht="16.5" customHeight="1">
      <c r="A76" s="63" t="s">
        <v>342</v>
      </c>
      <c r="B76" s="65" t="s">
        <v>343</v>
      </c>
      <c r="C76" s="103"/>
      <c r="D76" s="48"/>
      <c r="E76" s="48"/>
      <c r="F76" s="48"/>
      <c r="G76" s="55"/>
      <c r="H76" s="55"/>
      <c r="I76" s="49"/>
      <c r="J76" s="49"/>
      <c r="K76" s="49"/>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c r="IM76" s="50"/>
    </row>
    <row r="77" spans="1:247" s="50" customFormat="1" ht="16.5" customHeight="1">
      <c r="A77" s="46" t="s">
        <v>344</v>
      </c>
      <c r="B77" s="51" t="s">
        <v>233</v>
      </c>
      <c r="C77" s="102">
        <f t="shared" ref="C77:H77" si="28">+C78</f>
        <v>0</v>
      </c>
      <c r="D77" s="102">
        <f t="shared" si="28"/>
        <v>130000</v>
      </c>
      <c r="E77" s="102">
        <f t="shared" si="28"/>
        <v>130000</v>
      </c>
      <c r="F77" s="102">
        <f t="shared" si="28"/>
        <v>130000</v>
      </c>
      <c r="G77" s="102">
        <f t="shared" si="28"/>
        <v>0</v>
      </c>
      <c r="H77" s="102">
        <f t="shared" si="28"/>
        <v>0</v>
      </c>
      <c r="I77" s="49"/>
      <c r="J77" s="49"/>
      <c r="K77" s="49"/>
    </row>
    <row r="78" spans="1:247" s="50" customFormat="1" ht="16.5" customHeight="1">
      <c r="A78" s="46" t="s">
        <v>345</v>
      </c>
      <c r="B78" s="51" t="s">
        <v>235</v>
      </c>
      <c r="C78" s="102">
        <f t="shared" ref="C78:H78" si="29">+C79+C84</f>
        <v>0</v>
      </c>
      <c r="D78" s="102">
        <f t="shared" si="29"/>
        <v>130000</v>
      </c>
      <c r="E78" s="102">
        <f t="shared" si="29"/>
        <v>130000</v>
      </c>
      <c r="F78" s="102">
        <f t="shared" si="29"/>
        <v>130000</v>
      </c>
      <c r="G78" s="102">
        <f t="shared" si="29"/>
        <v>0</v>
      </c>
      <c r="H78" s="102">
        <f t="shared" si="29"/>
        <v>0</v>
      </c>
      <c r="I78" s="49"/>
      <c r="J78" s="49"/>
      <c r="K78" s="49"/>
    </row>
    <row r="79" spans="1:247" s="50" customFormat="1" ht="16.5" customHeight="1">
      <c r="A79" s="46" t="s">
        <v>346</v>
      </c>
      <c r="B79" s="51" t="s">
        <v>347</v>
      </c>
      <c r="C79" s="102">
        <f t="shared" ref="C79:H79" si="30">+C81+C83+C82+C80</f>
        <v>0</v>
      </c>
      <c r="D79" s="102">
        <f t="shared" si="30"/>
        <v>130000</v>
      </c>
      <c r="E79" s="102">
        <f t="shared" si="30"/>
        <v>130000</v>
      </c>
      <c r="F79" s="102">
        <f t="shared" si="30"/>
        <v>130000</v>
      </c>
      <c r="G79" s="102">
        <f t="shared" si="30"/>
        <v>0</v>
      </c>
      <c r="H79" s="102">
        <f t="shared" si="30"/>
        <v>0</v>
      </c>
      <c r="I79" s="49"/>
      <c r="J79" s="49"/>
      <c r="K79" s="49"/>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row>
    <row r="80" spans="1:247" s="50" customFormat="1" ht="16.5" customHeight="1">
      <c r="A80" s="46" t="s">
        <v>348</v>
      </c>
      <c r="B80" s="54" t="s">
        <v>349</v>
      </c>
      <c r="C80" s="102"/>
      <c r="D80" s="48"/>
      <c r="E80" s="48"/>
      <c r="F80" s="48"/>
      <c r="G80" s="55"/>
      <c r="H80" s="55"/>
      <c r="I80" s="49"/>
      <c r="J80" s="49"/>
      <c r="K80" s="49"/>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row>
    <row r="81" spans="1:247" s="50" customFormat="1" ht="16.5" customHeight="1">
      <c r="A81" s="53" t="s">
        <v>350</v>
      </c>
      <c r="B81" s="56" t="s">
        <v>351</v>
      </c>
      <c r="C81" s="103"/>
      <c r="D81" s="123">
        <v>130000</v>
      </c>
      <c r="E81" s="123">
        <v>130000</v>
      </c>
      <c r="F81" s="123">
        <v>130000</v>
      </c>
      <c r="G81" s="55"/>
      <c r="H81" s="55"/>
      <c r="I81" s="49"/>
      <c r="J81" s="49"/>
      <c r="K81" s="49"/>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row>
    <row r="82" spans="1:247" s="50" customFormat="1" ht="16.5" customHeight="1">
      <c r="A82" s="53" t="s">
        <v>352</v>
      </c>
      <c r="B82" s="54" t="s">
        <v>353</v>
      </c>
      <c r="C82" s="103"/>
      <c r="D82" s="48"/>
      <c r="E82" s="48"/>
      <c r="F82" s="48"/>
      <c r="G82" s="55"/>
      <c r="H82" s="55"/>
      <c r="I82" s="49"/>
      <c r="J82" s="49"/>
      <c r="K82" s="49"/>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row>
    <row r="83" spans="1:247" ht="16.5" customHeight="1">
      <c r="A83" s="53" t="s">
        <v>354</v>
      </c>
      <c r="B83" s="56" t="s">
        <v>355</v>
      </c>
      <c r="C83" s="103"/>
      <c r="D83" s="48"/>
      <c r="E83" s="48"/>
      <c r="F83" s="48"/>
      <c r="G83" s="55"/>
      <c r="H83" s="55"/>
      <c r="I83" s="49"/>
      <c r="J83" s="49"/>
      <c r="K83" s="49"/>
    </row>
    <row r="84" spans="1:247" ht="16.5" customHeight="1">
      <c r="A84" s="66" t="s">
        <v>356</v>
      </c>
      <c r="B84" s="54" t="s">
        <v>357</v>
      </c>
      <c r="C84" s="103"/>
      <c r="D84" s="48"/>
      <c r="E84" s="48"/>
      <c r="F84" s="48"/>
      <c r="G84" s="55"/>
      <c r="H84" s="55"/>
      <c r="I84" s="49"/>
      <c r="J84" s="49"/>
      <c r="K84" s="49"/>
    </row>
    <row r="85" spans="1:247" ht="16.5" customHeight="1">
      <c r="A85" s="53" t="s">
        <v>243</v>
      </c>
      <c r="B85" s="56" t="s">
        <v>358</v>
      </c>
      <c r="C85" s="103"/>
      <c r="D85" s="48"/>
      <c r="E85" s="48"/>
      <c r="F85" s="48"/>
      <c r="G85" s="55"/>
      <c r="H85" s="55"/>
      <c r="I85" s="49"/>
      <c r="J85" s="49"/>
      <c r="K85" s="49"/>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row>
    <row r="86" spans="1:247" ht="16.5" customHeight="1">
      <c r="A86" s="53" t="s">
        <v>359</v>
      </c>
      <c r="B86" s="56" t="s">
        <v>360</v>
      </c>
      <c r="C86" s="102">
        <f>C43-C88+C9+C11+C12+C14+C15+C16-C85</f>
        <v>0</v>
      </c>
      <c r="D86" s="102">
        <f t="shared" ref="D86:H86" si="31">D43-D88+D9+D11+D12+D14+D15+D16-D85</f>
        <v>136175280</v>
      </c>
      <c r="E86" s="102">
        <f t="shared" si="31"/>
        <v>136175280</v>
      </c>
      <c r="F86" s="102">
        <f t="shared" si="31"/>
        <v>136175280</v>
      </c>
      <c r="G86" s="102">
        <f t="shared" si="31"/>
        <v>135558532.96999997</v>
      </c>
      <c r="H86" s="102">
        <f t="shared" si="31"/>
        <v>13010165.020000003</v>
      </c>
      <c r="I86" s="49"/>
      <c r="J86" s="49"/>
      <c r="K86" s="49"/>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c r="GU86" s="58"/>
      <c r="GV86" s="58"/>
      <c r="GW86" s="58"/>
      <c r="GX86" s="58"/>
      <c r="GY86" s="58"/>
      <c r="GZ86" s="58"/>
      <c r="HA86" s="58"/>
      <c r="HB86" s="58"/>
      <c r="HC86" s="58"/>
      <c r="HD86" s="58"/>
      <c r="HE86" s="58"/>
      <c r="HF86" s="58"/>
      <c r="HG86" s="58"/>
      <c r="HH86" s="58"/>
      <c r="HI86" s="58"/>
      <c r="HJ86" s="58"/>
      <c r="HK86" s="58"/>
      <c r="HL86" s="58"/>
      <c r="HM86" s="58"/>
      <c r="HN86" s="58"/>
      <c r="HO86" s="58"/>
      <c r="HP86" s="58"/>
      <c r="HQ86" s="58"/>
      <c r="HR86" s="58"/>
      <c r="HS86" s="58"/>
      <c r="HT86" s="58"/>
      <c r="HU86" s="58"/>
      <c r="HV86" s="58"/>
      <c r="HW86" s="58"/>
      <c r="HX86" s="58"/>
      <c r="HY86" s="58"/>
      <c r="HZ86" s="58"/>
      <c r="IA86" s="58"/>
      <c r="IB86" s="58"/>
      <c r="IC86" s="58"/>
      <c r="ID86" s="58"/>
      <c r="IE86" s="58"/>
      <c r="IF86" s="58"/>
      <c r="IG86" s="58"/>
      <c r="IH86" s="58"/>
      <c r="II86" s="58"/>
      <c r="IJ86" s="58"/>
      <c r="IK86" s="58"/>
      <c r="IL86" s="58"/>
      <c r="IM86" s="58"/>
    </row>
    <row r="87" spans="1:247" ht="16.5" customHeight="1">
      <c r="A87" s="53"/>
      <c r="B87" s="56" t="s">
        <v>361</v>
      </c>
      <c r="C87" s="102"/>
      <c r="D87" s="48"/>
      <c r="E87" s="48"/>
      <c r="F87" s="48"/>
      <c r="G87" s="123">
        <f>-67840-8269</f>
        <v>-76109</v>
      </c>
      <c r="H87" s="67"/>
      <c r="I87" s="49"/>
      <c r="J87" s="49"/>
      <c r="K87" s="49"/>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c r="IF87" s="58"/>
      <c r="IG87" s="58"/>
      <c r="IH87" s="58"/>
      <c r="II87" s="58"/>
      <c r="IJ87" s="58"/>
      <c r="IK87" s="58"/>
      <c r="IL87" s="58"/>
      <c r="IM87" s="58"/>
    </row>
    <row r="88" spans="1:247" ht="16.5" customHeight="1">
      <c r="A88" s="53" t="s">
        <v>362</v>
      </c>
      <c r="B88" s="51" t="s">
        <v>363</v>
      </c>
      <c r="C88" s="104">
        <f>+C89+C184+C223+C227+C254+C256</f>
        <v>0</v>
      </c>
      <c r="D88" s="104">
        <f t="shared" ref="D88:H88" si="32">+D89+D184+D223+D227+D254+D256</f>
        <v>404193950</v>
      </c>
      <c r="E88" s="104">
        <f t="shared" si="32"/>
        <v>387972360</v>
      </c>
      <c r="F88" s="104">
        <f t="shared" si="32"/>
        <v>387972360</v>
      </c>
      <c r="G88" s="104">
        <f t="shared" si="32"/>
        <v>384552424.03000009</v>
      </c>
      <c r="H88" s="104">
        <f t="shared" si="32"/>
        <v>33501220.23</v>
      </c>
      <c r="I88" s="49"/>
      <c r="J88" s="49"/>
      <c r="K88" s="49"/>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c r="IF88" s="58"/>
      <c r="IG88" s="58"/>
      <c r="IH88" s="58"/>
      <c r="II88" s="58"/>
      <c r="IJ88" s="58"/>
      <c r="IK88" s="58"/>
      <c r="IL88" s="58"/>
      <c r="IM88" s="58"/>
    </row>
    <row r="89" spans="1:247" s="58" customFormat="1" ht="16.5" customHeight="1">
      <c r="A89" s="46" t="s">
        <v>364</v>
      </c>
      <c r="B89" s="51" t="s">
        <v>365</v>
      </c>
      <c r="C89" s="102">
        <f>+C90+C107+C144+C176+C180</f>
        <v>0</v>
      </c>
      <c r="D89" s="102">
        <f t="shared" ref="D89:H89" si="33">+D90+D107+D144+D176+D180</f>
        <v>172296300</v>
      </c>
      <c r="E89" s="102">
        <f t="shared" si="33"/>
        <v>176436380</v>
      </c>
      <c r="F89" s="102">
        <f t="shared" si="33"/>
        <v>176436380</v>
      </c>
      <c r="G89" s="102">
        <f t="shared" si="33"/>
        <v>175590262.15000004</v>
      </c>
      <c r="H89" s="102">
        <f t="shared" si="33"/>
        <v>16381558.859999999</v>
      </c>
      <c r="I89" s="49"/>
      <c r="J89" s="49"/>
      <c r="K89" s="49"/>
    </row>
    <row r="90" spans="1:247" s="58" customFormat="1" ht="16.5" customHeight="1">
      <c r="A90" s="53" t="s">
        <v>366</v>
      </c>
      <c r="B90" s="51" t="s">
        <v>367</v>
      </c>
      <c r="C90" s="102">
        <f>+C91+C104+C105+C95+C98+C92+C93+C94</f>
        <v>0</v>
      </c>
      <c r="D90" s="102">
        <f t="shared" ref="D90:H90" si="34">+D91+D104+D105+D95+D98+D92+D93+D94</f>
        <v>75245000</v>
      </c>
      <c r="E90" s="102">
        <f t="shared" si="34"/>
        <v>81840880</v>
      </c>
      <c r="F90" s="102">
        <f t="shared" si="34"/>
        <v>81840880</v>
      </c>
      <c r="G90" s="102">
        <f t="shared" si="34"/>
        <v>81001475.310000017</v>
      </c>
      <c r="H90" s="102">
        <f t="shared" si="34"/>
        <v>8774985.4199999999</v>
      </c>
      <c r="I90" s="49"/>
      <c r="J90" s="49"/>
      <c r="K90" s="49"/>
    </row>
    <row r="91" spans="1:247" s="58" customFormat="1" ht="16.5" customHeight="1">
      <c r="A91" s="53"/>
      <c r="B91" s="54" t="s">
        <v>368</v>
      </c>
      <c r="C91" s="103"/>
      <c r="D91" s="123">
        <v>58450200</v>
      </c>
      <c r="E91" s="123">
        <v>66279470</v>
      </c>
      <c r="F91" s="123">
        <v>66279470</v>
      </c>
      <c r="G91" s="123">
        <f>59105160.78+7174309.22</f>
        <v>66279470</v>
      </c>
      <c r="H91" s="123">
        <v>7174309.2199999997</v>
      </c>
      <c r="I91" s="49"/>
      <c r="J91" s="49"/>
      <c r="K91" s="49"/>
    </row>
    <row r="92" spans="1:247" s="58" customFormat="1" ht="45">
      <c r="A92" s="53"/>
      <c r="B92" s="54" t="s">
        <v>369</v>
      </c>
      <c r="C92" s="103"/>
      <c r="D92" s="123">
        <v>2190</v>
      </c>
      <c r="E92" s="123">
        <v>2190</v>
      </c>
      <c r="F92" s="123">
        <v>2190</v>
      </c>
      <c r="G92" s="123">
        <f>1498.94+131.06</f>
        <v>1630</v>
      </c>
      <c r="H92" s="123">
        <v>131.06</v>
      </c>
      <c r="I92" s="49"/>
      <c r="J92" s="49"/>
      <c r="K92" s="49"/>
    </row>
    <row r="93" spans="1:247" s="58" customFormat="1" ht="75">
      <c r="A93" s="53"/>
      <c r="B93" s="54" t="s">
        <v>370</v>
      </c>
      <c r="C93" s="103"/>
      <c r="D93" s="123">
        <v>3780</v>
      </c>
      <c r="E93" s="123">
        <v>3780</v>
      </c>
      <c r="F93" s="123">
        <v>3780</v>
      </c>
      <c r="G93" s="123">
        <f>2897.03+284.48</f>
        <v>3181.51</v>
      </c>
      <c r="H93" s="123">
        <v>284.48</v>
      </c>
      <c r="I93" s="49"/>
      <c r="J93" s="49"/>
      <c r="K93" s="49"/>
    </row>
    <row r="94" spans="1:247" s="58" customFormat="1" ht="60">
      <c r="A94" s="53"/>
      <c r="B94" s="54" t="s">
        <v>522</v>
      </c>
      <c r="C94" s="103"/>
      <c r="D94" s="48">
        <v>550950</v>
      </c>
      <c r="E94" s="48">
        <v>550950</v>
      </c>
      <c r="F94" s="48">
        <v>550950</v>
      </c>
      <c r="G94" s="55"/>
      <c r="H94" s="55"/>
      <c r="I94" s="49"/>
      <c r="J94" s="49"/>
      <c r="K94" s="49"/>
    </row>
    <row r="95" spans="1:247" s="58" customFormat="1" ht="16.5" customHeight="1">
      <c r="A95" s="53"/>
      <c r="B95" s="54" t="s">
        <v>371</v>
      </c>
      <c r="C95" s="103">
        <f t="shared" ref="C95:H95" si="35">C96+C97</f>
        <v>0</v>
      </c>
      <c r="D95" s="103">
        <f t="shared" si="35"/>
        <v>0</v>
      </c>
      <c r="E95" s="103">
        <f t="shared" si="35"/>
        <v>0</v>
      </c>
      <c r="F95" s="103">
        <f t="shared" si="35"/>
        <v>0</v>
      </c>
      <c r="G95" s="103">
        <f t="shared" si="35"/>
        <v>0</v>
      </c>
      <c r="H95" s="103">
        <f t="shared" si="35"/>
        <v>0</v>
      </c>
      <c r="I95" s="49"/>
      <c r="J95" s="49"/>
      <c r="K95" s="49"/>
    </row>
    <row r="96" spans="1:247" s="58" customFormat="1" ht="16.5" customHeight="1">
      <c r="A96" s="53"/>
      <c r="B96" s="54" t="s">
        <v>372</v>
      </c>
      <c r="C96" s="103"/>
      <c r="D96" s="48"/>
      <c r="E96" s="48"/>
      <c r="F96" s="48"/>
      <c r="G96" s="55"/>
      <c r="H96" s="55"/>
      <c r="I96" s="49"/>
      <c r="J96" s="49"/>
      <c r="K96" s="49"/>
    </row>
    <row r="97" spans="1:248" s="58" customFormat="1" ht="75">
      <c r="A97" s="53"/>
      <c r="B97" s="54" t="s">
        <v>370</v>
      </c>
      <c r="C97" s="103"/>
      <c r="D97" s="48"/>
      <c r="E97" s="48"/>
      <c r="F97" s="48"/>
      <c r="G97" s="55"/>
      <c r="H97" s="55"/>
      <c r="I97" s="49"/>
      <c r="J97" s="49"/>
      <c r="K97" s="49"/>
    </row>
    <row r="98" spans="1:248" s="58" customFormat="1" ht="16.5" customHeight="1">
      <c r="A98" s="53"/>
      <c r="B98" s="68" t="s">
        <v>373</v>
      </c>
      <c r="C98" s="103">
        <f t="shared" ref="C98:G98" si="36">C99+C102+C103</f>
        <v>0</v>
      </c>
      <c r="D98" s="103">
        <f t="shared" si="36"/>
        <v>14553170</v>
      </c>
      <c r="E98" s="103">
        <f t="shared" si="36"/>
        <v>13239170</v>
      </c>
      <c r="F98" s="103">
        <f t="shared" si="36"/>
        <v>13239170</v>
      </c>
      <c r="G98" s="103">
        <f t="shared" si="36"/>
        <v>13196936.869999999</v>
      </c>
      <c r="H98" s="103">
        <f t="shared" ref="H98" si="37">H99+H102+H103</f>
        <v>1437526.07</v>
      </c>
      <c r="I98" s="49"/>
      <c r="J98" s="49"/>
      <c r="K98" s="49"/>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row>
    <row r="99" spans="1:248" s="58" customFormat="1" ht="30">
      <c r="A99" s="53"/>
      <c r="B99" s="54" t="s">
        <v>374</v>
      </c>
      <c r="C99" s="103">
        <f t="shared" ref="C99:G99" si="38">C100+C101</f>
        <v>0</v>
      </c>
      <c r="D99" s="103">
        <f t="shared" si="38"/>
        <v>13607350</v>
      </c>
      <c r="E99" s="103">
        <f t="shared" si="38"/>
        <v>12316500</v>
      </c>
      <c r="F99" s="103">
        <f t="shared" si="38"/>
        <v>12316500</v>
      </c>
      <c r="G99" s="103">
        <f t="shared" si="38"/>
        <v>12316500</v>
      </c>
      <c r="H99" s="103">
        <f t="shared" ref="H99" si="39">H100+H101</f>
        <v>1326540</v>
      </c>
      <c r="I99" s="49"/>
      <c r="J99" s="49"/>
      <c r="K99" s="49"/>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row>
    <row r="100" spans="1:248">
      <c r="A100" s="53"/>
      <c r="B100" s="54" t="s">
        <v>372</v>
      </c>
      <c r="C100" s="103"/>
      <c r="D100" s="123">
        <v>13607350</v>
      </c>
      <c r="E100" s="123">
        <v>12316500</v>
      </c>
      <c r="F100" s="123">
        <v>12316500</v>
      </c>
      <c r="G100" s="123">
        <f>10989960+1326540</f>
        <v>12316500</v>
      </c>
      <c r="H100" s="80">
        <v>1326540</v>
      </c>
      <c r="I100" s="49"/>
      <c r="J100" s="49"/>
      <c r="K100" s="49"/>
      <c r="L100" s="58"/>
      <c r="IN100" s="58"/>
    </row>
    <row r="101" spans="1:248" ht="75">
      <c r="A101" s="53"/>
      <c r="B101" s="54" t="s">
        <v>370</v>
      </c>
      <c r="C101" s="103"/>
      <c r="D101" s="102"/>
      <c r="E101" s="102"/>
      <c r="F101" s="117"/>
      <c r="G101" s="80"/>
      <c r="H101" s="80"/>
      <c r="I101" s="49"/>
      <c r="J101" s="49"/>
      <c r="K101" s="49"/>
      <c r="L101" s="58"/>
      <c r="IN101" s="58"/>
    </row>
    <row r="102" spans="1:248" ht="60">
      <c r="A102" s="53"/>
      <c r="B102" s="54" t="s">
        <v>375</v>
      </c>
      <c r="C102" s="103"/>
      <c r="D102" s="123">
        <v>571080</v>
      </c>
      <c r="E102" s="123">
        <v>503180</v>
      </c>
      <c r="F102" s="123">
        <v>503180</v>
      </c>
      <c r="G102" s="123">
        <f>444080+58972.51</f>
        <v>503052.51</v>
      </c>
      <c r="H102" s="80">
        <v>58972.51</v>
      </c>
      <c r="I102" s="49"/>
      <c r="J102" s="49"/>
      <c r="K102" s="49"/>
      <c r="L102" s="58"/>
      <c r="IN102" s="58"/>
    </row>
    <row r="103" spans="1:248" ht="60">
      <c r="A103" s="53"/>
      <c r="B103" s="54" t="s">
        <v>376</v>
      </c>
      <c r="C103" s="103"/>
      <c r="D103" s="123">
        <v>374740</v>
      </c>
      <c r="E103" s="123">
        <v>419490</v>
      </c>
      <c r="F103" s="123">
        <v>419490</v>
      </c>
      <c r="G103" s="123">
        <f>325370.8+52013.56</f>
        <v>377384.36</v>
      </c>
      <c r="H103" s="80">
        <v>52013.56</v>
      </c>
      <c r="I103" s="49"/>
      <c r="J103" s="49"/>
      <c r="K103" s="49"/>
      <c r="L103" s="58"/>
      <c r="IN103" s="58"/>
    </row>
    <row r="104" spans="1:248" s="50" customFormat="1" ht="16.5" customHeight="1">
      <c r="A104" s="53"/>
      <c r="B104" s="54" t="s">
        <v>377</v>
      </c>
      <c r="C104" s="103"/>
      <c r="D104" s="123">
        <v>118650</v>
      </c>
      <c r="E104" s="123">
        <v>118650</v>
      </c>
      <c r="F104" s="123">
        <v>118650</v>
      </c>
      <c r="G104" s="123">
        <f>88790+11000</f>
        <v>99790</v>
      </c>
      <c r="H104" s="80">
        <v>11000</v>
      </c>
      <c r="I104" s="49"/>
      <c r="J104" s="49"/>
      <c r="K104" s="49"/>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58"/>
    </row>
    <row r="105" spans="1:248" ht="60">
      <c r="A105" s="53"/>
      <c r="B105" s="54" t="s">
        <v>378</v>
      </c>
      <c r="C105" s="103"/>
      <c r="D105" s="123">
        <v>1566060</v>
      </c>
      <c r="E105" s="123">
        <v>1646670</v>
      </c>
      <c r="F105" s="123">
        <v>1646670</v>
      </c>
      <c r="G105" s="123">
        <f>1268732.34+151734.59</f>
        <v>1420466.9300000002</v>
      </c>
      <c r="H105" s="80">
        <v>151734.59</v>
      </c>
      <c r="I105" s="49"/>
      <c r="J105" s="49"/>
      <c r="K105" s="49"/>
      <c r="IN105" s="58"/>
    </row>
    <row r="106" spans="1:248">
      <c r="A106" s="53"/>
      <c r="B106" s="56" t="s">
        <v>361</v>
      </c>
      <c r="C106" s="103"/>
      <c r="D106" s="102"/>
      <c r="E106" s="102"/>
      <c r="F106" s="117"/>
      <c r="G106" s="123">
        <f>-30519.23</f>
        <v>-30519.23</v>
      </c>
      <c r="H106" s="80"/>
      <c r="I106" s="49"/>
      <c r="J106" s="49"/>
      <c r="K106" s="49"/>
    </row>
    <row r="107" spans="1:248" ht="30">
      <c r="A107" s="109" t="s">
        <v>379</v>
      </c>
      <c r="B107" s="51" t="s">
        <v>380</v>
      </c>
      <c r="C107" s="103">
        <f t="shared" ref="C107:H107" si="40">C108+C111+C114+C117+C120+C123+C129+C126+C132</f>
        <v>0</v>
      </c>
      <c r="D107" s="103">
        <f t="shared" si="40"/>
        <v>75602040</v>
      </c>
      <c r="E107" s="103">
        <f t="shared" si="40"/>
        <v>73832090</v>
      </c>
      <c r="F107" s="103">
        <f t="shared" si="40"/>
        <v>73832090</v>
      </c>
      <c r="G107" s="103">
        <f t="shared" si="40"/>
        <v>73832003.530000001</v>
      </c>
      <c r="H107" s="103">
        <f t="shared" si="40"/>
        <v>6091960.5099999998</v>
      </c>
      <c r="I107" s="49"/>
      <c r="J107" s="49"/>
      <c r="K107" s="49"/>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row>
    <row r="108" spans="1:248" ht="16.5" customHeight="1">
      <c r="A108" s="53"/>
      <c r="B108" s="54" t="s">
        <v>381</v>
      </c>
      <c r="C108" s="103">
        <f t="shared" ref="C108:H108" si="41">C109+C110</f>
        <v>0</v>
      </c>
      <c r="D108" s="103">
        <f t="shared" si="41"/>
        <v>2741420</v>
      </c>
      <c r="E108" s="103">
        <f t="shared" si="41"/>
        <v>3244660</v>
      </c>
      <c r="F108" s="103">
        <f t="shared" si="41"/>
        <v>3244660</v>
      </c>
      <c r="G108" s="103">
        <f t="shared" si="41"/>
        <v>3244660</v>
      </c>
      <c r="H108" s="103">
        <f t="shared" si="41"/>
        <v>106060</v>
      </c>
      <c r="I108" s="49"/>
      <c r="J108" s="49"/>
      <c r="K108" s="49"/>
      <c r="L108" s="50"/>
    </row>
    <row r="109" spans="1:248">
      <c r="A109" s="53"/>
      <c r="B109" s="54" t="s">
        <v>368</v>
      </c>
      <c r="C109" s="103"/>
      <c r="D109" s="48">
        <v>2741420</v>
      </c>
      <c r="E109" s="48">
        <v>3244660</v>
      </c>
      <c r="F109" s="48">
        <v>3244660</v>
      </c>
      <c r="G109" s="55">
        <f>3138600+106060</f>
        <v>3244660</v>
      </c>
      <c r="H109" s="80">
        <v>106060</v>
      </c>
      <c r="I109" s="49"/>
      <c r="J109" s="49"/>
      <c r="K109" s="49"/>
      <c r="L109" s="50"/>
    </row>
    <row r="110" spans="1:248" ht="75">
      <c r="A110" s="53"/>
      <c r="B110" s="54" t="s">
        <v>370</v>
      </c>
      <c r="C110" s="103"/>
      <c r="D110" s="48"/>
      <c r="E110" s="48"/>
      <c r="F110" s="48"/>
      <c r="G110" s="55"/>
      <c r="H110" s="55"/>
      <c r="I110" s="49"/>
      <c r="J110" s="49"/>
      <c r="K110" s="49"/>
      <c r="L110" s="50"/>
    </row>
    <row r="111" spans="1:248" ht="16.5" customHeight="1">
      <c r="A111" s="53"/>
      <c r="B111" s="54" t="s">
        <v>382</v>
      </c>
      <c r="C111" s="103">
        <f t="shared" ref="C111:H111" si="42">C112+C113</f>
        <v>0</v>
      </c>
      <c r="D111" s="103">
        <f t="shared" si="42"/>
        <v>39860</v>
      </c>
      <c r="E111" s="103">
        <f t="shared" si="42"/>
        <v>0</v>
      </c>
      <c r="F111" s="103">
        <f t="shared" si="42"/>
        <v>0</v>
      </c>
      <c r="G111" s="103">
        <f t="shared" si="42"/>
        <v>0</v>
      </c>
      <c r="H111" s="103">
        <f t="shared" si="42"/>
        <v>0</v>
      </c>
      <c r="I111" s="49"/>
      <c r="J111" s="49"/>
      <c r="K111" s="49"/>
    </row>
    <row r="112" spans="1:248">
      <c r="A112" s="53"/>
      <c r="B112" s="54" t="s">
        <v>368</v>
      </c>
      <c r="C112" s="103"/>
      <c r="D112" s="48">
        <v>39860</v>
      </c>
      <c r="E112" s="48"/>
      <c r="F112" s="48"/>
      <c r="G112" s="55"/>
      <c r="H112" s="55"/>
      <c r="I112" s="49"/>
      <c r="J112" s="49"/>
      <c r="K112" s="49"/>
    </row>
    <row r="113" spans="1:248" ht="75">
      <c r="A113" s="53"/>
      <c r="B113" s="54" t="s">
        <v>370</v>
      </c>
      <c r="C113" s="103"/>
      <c r="D113" s="48"/>
      <c r="E113" s="48"/>
      <c r="F113" s="48"/>
      <c r="G113" s="55"/>
      <c r="H113" s="55"/>
      <c r="I113" s="49"/>
      <c r="J113" s="49"/>
      <c r="K113" s="49"/>
    </row>
    <row r="114" spans="1:248">
      <c r="A114" s="53"/>
      <c r="B114" s="54" t="s">
        <v>383</v>
      </c>
      <c r="C114" s="103">
        <f t="shared" ref="C114:H114" si="43">C115+C116</f>
        <v>0</v>
      </c>
      <c r="D114" s="103">
        <f t="shared" si="43"/>
        <v>387280</v>
      </c>
      <c r="E114" s="103">
        <f t="shared" si="43"/>
        <v>242890</v>
      </c>
      <c r="F114" s="103">
        <f t="shared" si="43"/>
        <v>242890</v>
      </c>
      <c r="G114" s="103">
        <f t="shared" si="43"/>
        <v>242890</v>
      </c>
      <c r="H114" s="103">
        <f t="shared" si="43"/>
        <v>48710</v>
      </c>
      <c r="I114" s="49"/>
      <c r="J114" s="49"/>
      <c r="K114" s="49"/>
      <c r="IN114" s="50"/>
    </row>
    <row r="115" spans="1:248">
      <c r="A115" s="53"/>
      <c r="B115" s="54" t="s">
        <v>368</v>
      </c>
      <c r="C115" s="103"/>
      <c r="D115" s="48">
        <v>387280</v>
      </c>
      <c r="E115" s="48">
        <v>242890</v>
      </c>
      <c r="F115" s="48">
        <v>242890</v>
      </c>
      <c r="G115" s="123">
        <f>194180+48710</f>
        <v>242890</v>
      </c>
      <c r="H115" s="80">
        <v>48710</v>
      </c>
      <c r="I115" s="49"/>
      <c r="J115" s="49"/>
      <c r="K115" s="49"/>
      <c r="IN115" s="50"/>
    </row>
    <row r="116" spans="1:248" ht="75">
      <c r="A116" s="53"/>
      <c r="B116" s="54" t="s">
        <v>370</v>
      </c>
      <c r="C116" s="103"/>
      <c r="D116" s="48"/>
      <c r="E116" s="48"/>
      <c r="F116" s="48"/>
      <c r="G116" s="55"/>
      <c r="H116" s="55"/>
      <c r="I116" s="49"/>
      <c r="J116" s="49"/>
      <c r="K116" s="49"/>
      <c r="IN116" s="50"/>
    </row>
    <row r="117" spans="1:248" ht="36" customHeight="1">
      <c r="A117" s="46"/>
      <c r="B117" s="54" t="s">
        <v>384</v>
      </c>
      <c r="C117" s="103">
        <f t="shared" ref="C117:H117" si="44">C118+C119</f>
        <v>0</v>
      </c>
      <c r="D117" s="103">
        <f t="shared" si="44"/>
        <v>29789410</v>
      </c>
      <c r="E117" s="103">
        <f t="shared" si="44"/>
        <v>30243360</v>
      </c>
      <c r="F117" s="103">
        <f t="shared" si="44"/>
        <v>30243360</v>
      </c>
      <c r="G117" s="103">
        <f t="shared" si="44"/>
        <v>30243281.130000003</v>
      </c>
      <c r="H117" s="103">
        <f t="shared" si="44"/>
        <v>2055425.95</v>
      </c>
      <c r="I117" s="49"/>
      <c r="J117" s="49"/>
      <c r="K117" s="49"/>
    </row>
    <row r="118" spans="1:248">
      <c r="A118" s="53"/>
      <c r="B118" s="54" t="s">
        <v>368</v>
      </c>
      <c r="C118" s="103"/>
      <c r="D118" s="48">
        <v>29783780</v>
      </c>
      <c r="E118" s="48">
        <v>30236550</v>
      </c>
      <c r="F118" s="48">
        <v>30236550</v>
      </c>
      <c r="G118" s="55">
        <f>28182237.1+2054290</f>
        <v>30236527.100000001</v>
      </c>
      <c r="H118" s="80">
        <v>2054290</v>
      </c>
      <c r="I118" s="49"/>
      <c r="J118" s="49"/>
      <c r="K118" s="49"/>
    </row>
    <row r="119" spans="1:248" ht="75">
      <c r="A119" s="53"/>
      <c r="B119" s="54" t="s">
        <v>370</v>
      </c>
      <c r="C119" s="103"/>
      <c r="D119" s="48">
        <v>5630</v>
      </c>
      <c r="E119" s="48">
        <v>6810</v>
      </c>
      <c r="F119" s="48">
        <v>6810</v>
      </c>
      <c r="G119" s="55">
        <f>5618.08+1135.95</f>
        <v>6754.03</v>
      </c>
      <c r="H119" s="80">
        <v>1135.95</v>
      </c>
      <c r="I119" s="49"/>
      <c r="J119" s="49"/>
      <c r="K119" s="49"/>
    </row>
    <row r="120" spans="1:248" ht="16.5" customHeight="1">
      <c r="A120" s="53"/>
      <c r="B120" s="69" t="s">
        <v>385</v>
      </c>
      <c r="C120" s="103">
        <f t="shared" ref="C120:H120" si="45">C121+C122</f>
        <v>0</v>
      </c>
      <c r="D120" s="103">
        <f t="shared" si="45"/>
        <v>30050</v>
      </c>
      <c r="E120" s="103">
        <f t="shared" si="45"/>
        <v>32480</v>
      </c>
      <c r="F120" s="103">
        <f t="shared" si="45"/>
        <v>32480</v>
      </c>
      <c r="G120" s="103">
        <f t="shared" si="45"/>
        <v>32480</v>
      </c>
      <c r="H120" s="103">
        <f t="shared" si="45"/>
        <v>2210</v>
      </c>
      <c r="I120" s="49"/>
      <c r="J120" s="49"/>
      <c r="K120" s="49"/>
    </row>
    <row r="121" spans="1:248">
      <c r="A121" s="53"/>
      <c r="B121" s="69" t="s">
        <v>368</v>
      </c>
      <c r="C121" s="103"/>
      <c r="D121" s="48">
        <v>30050</v>
      </c>
      <c r="E121" s="48">
        <v>32480</v>
      </c>
      <c r="F121" s="48">
        <v>32480</v>
      </c>
      <c r="G121" s="55">
        <f>30270+2210</f>
        <v>32480</v>
      </c>
      <c r="H121" s="80">
        <v>2210</v>
      </c>
      <c r="I121" s="49"/>
      <c r="J121" s="49"/>
      <c r="K121" s="49"/>
    </row>
    <row r="122" spans="1:248" ht="75">
      <c r="A122" s="53"/>
      <c r="B122" s="69" t="s">
        <v>370</v>
      </c>
      <c r="C122" s="103"/>
      <c r="D122" s="48"/>
      <c r="E122" s="48"/>
      <c r="F122" s="48"/>
      <c r="G122" s="55"/>
      <c r="H122" s="55"/>
      <c r="I122" s="49"/>
      <c r="J122" s="49"/>
      <c r="K122" s="49"/>
    </row>
    <row r="123" spans="1:248" ht="30">
      <c r="A123" s="53"/>
      <c r="B123" s="54" t="s">
        <v>386</v>
      </c>
      <c r="C123" s="103">
        <f t="shared" ref="C123:H123" si="46">C124+C125</f>
        <v>0</v>
      </c>
      <c r="D123" s="103">
        <f t="shared" si="46"/>
        <v>463140</v>
      </c>
      <c r="E123" s="103">
        <f t="shared" si="46"/>
        <v>472170</v>
      </c>
      <c r="F123" s="103">
        <f t="shared" si="46"/>
        <v>472170</v>
      </c>
      <c r="G123" s="103">
        <f t="shared" si="46"/>
        <v>472170</v>
      </c>
      <c r="H123" s="103">
        <f t="shared" si="46"/>
        <v>26840</v>
      </c>
      <c r="I123" s="49"/>
      <c r="J123" s="49"/>
      <c r="K123" s="49"/>
    </row>
    <row r="124" spans="1:248" ht="16.5" customHeight="1">
      <c r="A124" s="53"/>
      <c r="B124" s="54" t="s">
        <v>368</v>
      </c>
      <c r="C124" s="103"/>
      <c r="D124" s="48">
        <v>463140</v>
      </c>
      <c r="E124" s="48">
        <v>472170</v>
      </c>
      <c r="F124" s="48">
        <v>472170</v>
      </c>
      <c r="G124" s="55">
        <f>445330+26840</f>
        <v>472170</v>
      </c>
      <c r="H124" s="80">
        <v>26840</v>
      </c>
      <c r="I124" s="49"/>
      <c r="J124" s="49"/>
      <c r="K124" s="49"/>
    </row>
    <row r="125" spans="1:248" ht="75">
      <c r="A125" s="53"/>
      <c r="B125" s="54" t="s">
        <v>370</v>
      </c>
      <c r="C125" s="103"/>
      <c r="D125" s="48"/>
      <c r="E125" s="48"/>
      <c r="F125" s="48"/>
      <c r="G125" s="55"/>
      <c r="H125" s="55"/>
      <c r="I125" s="49"/>
      <c r="J125" s="49"/>
      <c r="K125" s="49"/>
    </row>
    <row r="126" spans="1:248" s="50" customFormat="1">
      <c r="A126" s="53"/>
      <c r="B126" s="70" t="s">
        <v>387</v>
      </c>
      <c r="C126" s="103">
        <f t="shared" ref="C126:H126" si="47">C127+C128</f>
        <v>0</v>
      </c>
      <c r="D126" s="103">
        <f t="shared" si="47"/>
        <v>0</v>
      </c>
      <c r="E126" s="103">
        <f t="shared" si="47"/>
        <v>0</v>
      </c>
      <c r="F126" s="103">
        <f t="shared" si="47"/>
        <v>0</v>
      </c>
      <c r="G126" s="103">
        <f t="shared" si="47"/>
        <v>0</v>
      </c>
      <c r="H126" s="103">
        <f t="shared" si="47"/>
        <v>0</v>
      </c>
      <c r="I126" s="49"/>
      <c r="J126" s="49"/>
      <c r="K126" s="49"/>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row>
    <row r="127" spans="1:248" s="50" customFormat="1">
      <c r="A127" s="53"/>
      <c r="B127" s="70" t="s">
        <v>368</v>
      </c>
      <c r="C127" s="103"/>
      <c r="D127" s="48"/>
      <c r="E127" s="48"/>
      <c r="F127" s="48"/>
      <c r="G127" s="55"/>
      <c r="H127" s="55"/>
      <c r="I127" s="49"/>
      <c r="J127" s="49"/>
      <c r="K127" s="49"/>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c r="IN127" s="33"/>
    </row>
    <row r="128" spans="1:248" s="50" customFormat="1" ht="75">
      <c r="A128" s="53"/>
      <c r="B128" s="70" t="s">
        <v>370</v>
      </c>
      <c r="C128" s="103"/>
      <c r="D128" s="48"/>
      <c r="E128" s="48"/>
      <c r="F128" s="48"/>
      <c r="G128" s="55"/>
      <c r="H128" s="55"/>
      <c r="I128" s="49"/>
      <c r="J128" s="49"/>
      <c r="K128" s="49"/>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c r="IN128" s="33"/>
    </row>
    <row r="129" spans="1:248" s="50" customFormat="1">
      <c r="A129" s="53"/>
      <c r="B129" s="70" t="s">
        <v>388</v>
      </c>
      <c r="C129" s="103">
        <f t="shared" ref="C129:H129" si="48">C130+C131</f>
        <v>0</v>
      </c>
      <c r="D129" s="103">
        <f t="shared" si="48"/>
        <v>26704370</v>
      </c>
      <c r="E129" s="103">
        <f t="shared" si="48"/>
        <v>23410970</v>
      </c>
      <c r="F129" s="103">
        <f t="shared" si="48"/>
        <v>23410970</v>
      </c>
      <c r="G129" s="103">
        <f t="shared" si="48"/>
        <v>23410962.399999999</v>
      </c>
      <c r="H129" s="103">
        <f t="shared" si="48"/>
        <v>2545181.04</v>
      </c>
      <c r="I129" s="49"/>
      <c r="J129" s="49"/>
      <c r="K129" s="49"/>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row>
    <row r="130" spans="1:248" s="50" customFormat="1">
      <c r="A130" s="53"/>
      <c r="B130" s="70" t="s">
        <v>368</v>
      </c>
      <c r="C130" s="103"/>
      <c r="D130" s="48">
        <v>26703210</v>
      </c>
      <c r="E130" s="48">
        <v>23409570</v>
      </c>
      <c r="F130" s="48">
        <v>23409570</v>
      </c>
      <c r="G130" s="55">
        <f>20864620+2544950</f>
        <v>23409570</v>
      </c>
      <c r="H130" s="119">
        <v>2544950</v>
      </c>
      <c r="I130" s="49"/>
      <c r="J130" s="49"/>
      <c r="K130" s="49"/>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row>
    <row r="131" spans="1:248" s="50" customFormat="1" ht="75">
      <c r="A131" s="53"/>
      <c r="B131" s="70" t="s">
        <v>370</v>
      </c>
      <c r="C131" s="103"/>
      <c r="D131" s="48">
        <v>1160</v>
      </c>
      <c r="E131" s="48">
        <v>1400</v>
      </c>
      <c r="F131" s="48">
        <v>1400</v>
      </c>
      <c r="G131" s="55">
        <f>1161.36+231.04</f>
        <v>1392.3999999999999</v>
      </c>
      <c r="H131" s="119">
        <v>231.04</v>
      </c>
      <c r="I131" s="49"/>
      <c r="J131" s="49"/>
      <c r="K131" s="49"/>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row>
    <row r="132" spans="1:248" s="50" customFormat="1" ht="45">
      <c r="A132" s="53"/>
      <c r="B132" s="72" t="s">
        <v>389</v>
      </c>
      <c r="C132" s="103">
        <f>C133+C136+C139+C137+C138+C142</f>
        <v>0</v>
      </c>
      <c r="D132" s="103">
        <f t="shared" ref="D132:H132" si="49">D133+D136+D139+D137+D138+D142</f>
        <v>15446510</v>
      </c>
      <c r="E132" s="103">
        <f t="shared" si="49"/>
        <v>16185560</v>
      </c>
      <c r="F132" s="103">
        <f t="shared" si="49"/>
        <v>16185560</v>
      </c>
      <c r="G132" s="103">
        <f t="shared" si="49"/>
        <v>16185560</v>
      </c>
      <c r="H132" s="103">
        <f t="shared" si="49"/>
        <v>1307533.52</v>
      </c>
      <c r="I132" s="49"/>
      <c r="J132" s="49"/>
      <c r="K132" s="49"/>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c r="IN132" s="33"/>
    </row>
    <row r="133" spans="1:248" s="50" customFormat="1" ht="30">
      <c r="A133" s="53"/>
      <c r="B133" s="70" t="s">
        <v>390</v>
      </c>
      <c r="C133" s="103">
        <f t="shared" ref="C133:H133" si="50">C134+C135</f>
        <v>0</v>
      </c>
      <c r="D133" s="103">
        <f t="shared" si="50"/>
        <v>14936510</v>
      </c>
      <c r="E133" s="103">
        <f t="shared" si="50"/>
        <v>15976300</v>
      </c>
      <c r="F133" s="103">
        <f t="shared" si="50"/>
        <v>15976300</v>
      </c>
      <c r="G133" s="103">
        <f t="shared" si="50"/>
        <v>15976300</v>
      </c>
      <c r="H133" s="103">
        <f t="shared" si="50"/>
        <v>1215053.52</v>
      </c>
      <c r="I133" s="49"/>
      <c r="J133" s="49"/>
      <c r="K133" s="49"/>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c r="IN133" s="33"/>
    </row>
    <row r="134" spans="1:248" s="50" customFormat="1" ht="16.5" customHeight="1">
      <c r="A134" s="53"/>
      <c r="B134" s="70" t="s">
        <v>368</v>
      </c>
      <c r="C134" s="103"/>
      <c r="D134" s="48">
        <v>14936510</v>
      </c>
      <c r="E134" s="48">
        <v>15976300</v>
      </c>
      <c r="F134" s="48">
        <v>15976300</v>
      </c>
      <c r="G134" s="55">
        <f>14761246.48+1215053.52</f>
        <v>15976300</v>
      </c>
      <c r="H134" s="80">
        <v>1215053.52</v>
      </c>
      <c r="I134" s="49"/>
      <c r="J134" s="49"/>
      <c r="K134" s="49"/>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row>
    <row r="135" spans="1:248" s="50" customFormat="1" ht="75">
      <c r="A135" s="53"/>
      <c r="B135" s="70" t="s">
        <v>370</v>
      </c>
      <c r="C135" s="103"/>
      <c r="D135" s="48"/>
      <c r="E135" s="48"/>
      <c r="F135" s="48"/>
      <c r="G135" s="55"/>
      <c r="H135" s="55"/>
      <c r="I135" s="49"/>
      <c r="J135" s="49"/>
      <c r="K135" s="49"/>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row>
    <row r="136" spans="1:248" s="50" customFormat="1" ht="16.5" customHeight="1">
      <c r="A136" s="53"/>
      <c r="B136" s="70" t="s">
        <v>391</v>
      </c>
      <c r="C136" s="103"/>
      <c r="D136" s="48"/>
      <c r="E136" s="48"/>
      <c r="F136" s="48"/>
      <c r="G136" s="55"/>
      <c r="H136" s="55"/>
      <c r="I136" s="49"/>
      <c r="J136" s="49"/>
      <c r="K136" s="49"/>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row>
    <row r="137" spans="1:248" ht="30">
      <c r="A137" s="46"/>
      <c r="B137" s="70" t="s">
        <v>392</v>
      </c>
      <c r="C137" s="103"/>
      <c r="D137" s="48"/>
      <c r="E137" s="48"/>
      <c r="F137" s="48"/>
      <c r="G137" s="55"/>
      <c r="H137" s="55"/>
      <c r="I137" s="49"/>
      <c r="J137" s="49"/>
      <c r="K137" s="49"/>
    </row>
    <row r="138" spans="1:248" ht="16.5" customHeight="1">
      <c r="A138" s="46"/>
      <c r="B138" s="70" t="s">
        <v>393</v>
      </c>
      <c r="C138" s="103"/>
      <c r="D138" s="48"/>
      <c r="E138" s="48"/>
      <c r="F138" s="48"/>
      <c r="G138" s="55"/>
      <c r="H138" s="55"/>
      <c r="I138" s="49"/>
      <c r="J138" s="49"/>
      <c r="K138" s="49"/>
    </row>
    <row r="139" spans="1:248" s="50" customFormat="1" ht="16.5" customHeight="1">
      <c r="A139" s="53"/>
      <c r="B139" s="70" t="s">
        <v>394</v>
      </c>
      <c r="C139" s="103">
        <f>C140+C141</f>
        <v>0</v>
      </c>
      <c r="D139" s="103">
        <f t="shared" ref="D139:H139" si="51">D140+D141</f>
        <v>0</v>
      </c>
      <c r="E139" s="103">
        <f t="shared" si="51"/>
        <v>0</v>
      </c>
      <c r="F139" s="103">
        <f t="shared" si="51"/>
        <v>0</v>
      </c>
      <c r="G139" s="103">
        <f t="shared" si="51"/>
        <v>0</v>
      </c>
      <c r="H139" s="103">
        <f t="shared" si="51"/>
        <v>0</v>
      </c>
      <c r="I139" s="49"/>
      <c r="J139" s="49"/>
      <c r="K139" s="49"/>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row>
    <row r="140" spans="1:248" s="50" customFormat="1" ht="16.5" customHeight="1">
      <c r="A140" s="53"/>
      <c r="B140" s="70" t="s">
        <v>368</v>
      </c>
      <c r="C140" s="103"/>
      <c r="D140" s="48"/>
      <c r="E140" s="48"/>
      <c r="F140" s="48"/>
      <c r="G140" s="55"/>
      <c r="H140" s="55"/>
      <c r="I140" s="49"/>
      <c r="J140" s="49"/>
      <c r="K140" s="49"/>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row>
    <row r="141" spans="1:248" s="50" customFormat="1" ht="75">
      <c r="A141" s="53"/>
      <c r="B141" s="70" t="s">
        <v>370</v>
      </c>
      <c r="C141" s="103"/>
      <c r="D141" s="48"/>
      <c r="E141" s="48"/>
      <c r="F141" s="48"/>
      <c r="G141" s="55"/>
      <c r="H141" s="55"/>
      <c r="I141" s="49"/>
      <c r="J141" s="49"/>
      <c r="K141" s="49"/>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row>
    <row r="142" spans="1:248" s="50" customFormat="1">
      <c r="A142" s="53"/>
      <c r="B142" s="70" t="s">
        <v>523</v>
      </c>
      <c r="C142" s="103"/>
      <c r="D142" s="48">
        <v>510000</v>
      </c>
      <c r="E142" s="48">
        <v>209260</v>
      </c>
      <c r="F142" s="48">
        <v>209260</v>
      </c>
      <c r="G142" s="55">
        <f>116780+92480</f>
        <v>209260</v>
      </c>
      <c r="H142" s="80">
        <v>92480</v>
      </c>
      <c r="I142" s="49"/>
      <c r="J142" s="49"/>
      <c r="K142" s="49"/>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row>
    <row r="143" spans="1:248" s="50" customFormat="1" ht="16.5" customHeight="1">
      <c r="A143" s="53"/>
      <c r="B143" s="56" t="s">
        <v>361</v>
      </c>
      <c r="C143" s="103"/>
      <c r="D143" s="48"/>
      <c r="E143" s="48"/>
      <c r="F143" s="48"/>
      <c r="G143" s="55">
        <f>-6473.83</f>
        <v>-6473.83</v>
      </c>
      <c r="H143" s="55"/>
      <c r="I143" s="49"/>
      <c r="J143" s="49"/>
      <c r="K143" s="49"/>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row>
    <row r="144" spans="1:248" s="50" customFormat="1" ht="30">
      <c r="A144" s="53" t="s">
        <v>395</v>
      </c>
      <c r="B144" s="51" t="s">
        <v>396</v>
      </c>
      <c r="C144" s="103">
        <f t="shared" ref="C144:H144" si="52">C145+C148+C151+C154+C157+C158+C159+C162+C163+C166</f>
        <v>0</v>
      </c>
      <c r="D144" s="103">
        <f t="shared" si="52"/>
        <v>4851690</v>
      </c>
      <c r="E144" s="103">
        <f t="shared" si="52"/>
        <v>5122820</v>
      </c>
      <c r="F144" s="103">
        <f t="shared" si="52"/>
        <v>5122820</v>
      </c>
      <c r="G144" s="103">
        <f t="shared" si="52"/>
        <v>5116195.32</v>
      </c>
      <c r="H144" s="103">
        <f t="shared" si="52"/>
        <v>259060.61</v>
      </c>
      <c r="I144" s="49"/>
      <c r="J144" s="49"/>
      <c r="K144" s="49"/>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row>
    <row r="145" spans="1:254" s="50" customFormat="1">
      <c r="A145" s="53"/>
      <c r="B145" s="54" t="s">
        <v>384</v>
      </c>
      <c r="C145" s="103">
        <f t="shared" ref="C145:H145" si="53">C146+C147</f>
        <v>0</v>
      </c>
      <c r="D145" s="103">
        <f t="shared" si="53"/>
        <v>1833960</v>
      </c>
      <c r="E145" s="103">
        <f t="shared" si="53"/>
        <v>1929240</v>
      </c>
      <c r="F145" s="103">
        <f t="shared" si="53"/>
        <v>1929240</v>
      </c>
      <c r="G145" s="103">
        <f t="shared" si="53"/>
        <v>1929240</v>
      </c>
      <c r="H145" s="103">
        <f t="shared" si="53"/>
        <v>119890</v>
      </c>
      <c r="I145" s="49"/>
      <c r="J145" s="49"/>
      <c r="K145" s="49"/>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row>
    <row r="146" spans="1:254" s="50" customFormat="1">
      <c r="A146" s="53"/>
      <c r="B146" s="54" t="s">
        <v>368</v>
      </c>
      <c r="C146" s="103"/>
      <c r="D146" s="48">
        <v>1832520</v>
      </c>
      <c r="E146" s="48">
        <v>1927680</v>
      </c>
      <c r="F146" s="48">
        <v>1927680</v>
      </c>
      <c r="G146" s="55">
        <f>1807910+119770</f>
        <v>1927680</v>
      </c>
      <c r="H146" s="80">
        <v>119770</v>
      </c>
      <c r="I146" s="49"/>
      <c r="J146" s="49"/>
      <c r="K146" s="49"/>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row>
    <row r="147" spans="1:254" s="50" customFormat="1" ht="16.5" customHeight="1">
      <c r="A147" s="53"/>
      <c r="B147" s="54" t="s">
        <v>370</v>
      </c>
      <c r="C147" s="103"/>
      <c r="D147" s="48">
        <v>1440</v>
      </c>
      <c r="E147" s="48">
        <v>1560</v>
      </c>
      <c r="F147" s="48">
        <v>1560</v>
      </c>
      <c r="G147" s="55">
        <f>1440+120</f>
        <v>1560</v>
      </c>
      <c r="H147" s="80">
        <v>120</v>
      </c>
      <c r="I147" s="49"/>
      <c r="J147" s="49"/>
      <c r="K147" s="49"/>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row>
    <row r="148" spans="1:254" s="50" customFormat="1" ht="30">
      <c r="A148" s="53"/>
      <c r="B148" s="73" t="s">
        <v>397</v>
      </c>
      <c r="C148" s="103">
        <f t="shared" ref="C148:H148" si="54">C149+C150</f>
        <v>0</v>
      </c>
      <c r="D148" s="103">
        <f t="shared" si="54"/>
        <v>786270</v>
      </c>
      <c r="E148" s="103">
        <f t="shared" si="54"/>
        <v>819450</v>
      </c>
      <c r="F148" s="103">
        <f t="shared" si="54"/>
        <v>819450</v>
      </c>
      <c r="G148" s="103">
        <f t="shared" si="54"/>
        <v>819427.62</v>
      </c>
      <c r="H148" s="103">
        <f t="shared" si="54"/>
        <v>17139.91</v>
      </c>
      <c r="I148" s="49"/>
      <c r="J148" s="49"/>
      <c r="K148" s="49"/>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row>
    <row r="149" spans="1:254" s="50" customFormat="1" ht="16.5" customHeight="1">
      <c r="A149" s="53"/>
      <c r="B149" s="73" t="s">
        <v>368</v>
      </c>
      <c r="C149" s="103"/>
      <c r="D149" s="48">
        <v>786270</v>
      </c>
      <c r="E149" s="48">
        <v>819450</v>
      </c>
      <c r="F149" s="48">
        <v>819450</v>
      </c>
      <c r="G149" s="55">
        <f>802287.71+17139.91</f>
        <v>819427.62</v>
      </c>
      <c r="H149" s="80">
        <v>17139.91</v>
      </c>
      <c r="I149" s="49"/>
      <c r="J149" s="49"/>
      <c r="K149" s="49"/>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row>
    <row r="150" spans="1:254" s="50" customFormat="1" ht="75">
      <c r="A150" s="53"/>
      <c r="B150" s="73" t="s">
        <v>370</v>
      </c>
      <c r="C150" s="103"/>
      <c r="D150" s="48"/>
      <c r="E150" s="48"/>
      <c r="F150" s="48"/>
      <c r="G150" s="55"/>
      <c r="H150" s="55"/>
      <c r="I150" s="49"/>
      <c r="J150" s="49"/>
      <c r="K150" s="49"/>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row>
    <row r="151" spans="1:254" s="50" customFormat="1">
      <c r="A151" s="53"/>
      <c r="B151" s="54" t="s">
        <v>398</v>
      </c>
      <c r="C151" s="103">
        <f t="shared" ref="C151:H151" si="55">C152+C153</f>
        <v>0</v>
      </c>
      <c r="D151" s="103">
        <f t="shared" si="55"/>
        <v>2231460</v>
      </c>
      <c r="E151" s="103">
        <f t="shared" si="55"/>
        <v>2374130</v>
      </c>
      <c r="F151" s="103">
        <f t="shared" si="55"/>
        <v>2374130</v>
      </c>
      <c r="G151" s="103">
        <f t="shared" si="55"/>
        <v>2367527.7000000002</v>
      </c>
      <c r="H151" s="103">
        <f t="shared" si="55"/>
        <v>122030.7</v>
      </c>
      <c r="I151" s="49"/>
      <c r="J151" s="49"/>
      <c r="K151" s="49"/>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row>
    <row r="152" spans="1:254" s="50" customFormat="1" ht="16.5" customHeight="1">
      <c r="A152" s="53"/>
      <c r="B152" s="54" t="s">
        <v>368</v>
      </c>
      <c r="C152" s="103"/>
      <c r="D152" s="48">
        <f>2231460-6600</f>
        <v>2224860</v>
      </c>
      <c r="E152" s="48">
        <v>2367530</v>
      </c>
      <c r="F152" s="48">
        <v>2367530</v>
      </c>
      <c r="G152" s="55">
        <f>2245497+122030.7</f>
        <v>2367527.7000000002</v>
      </c>
      <c r="H152" s="80">
        <v>122030.7</v>
      </c>
      <c r="I152" s="49"/>
      <c r="J152" s="49"/>
      <c r="K152" s="49"/>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row>
    <row r="153" spans="1:254" s="50" customFormat="1" ht="75">
      <c r="A153" s="46"/>
      <c r="B153" s="54" t="s">
        <v>370</v>
      </c>
      <c r="C153" s="103"/>
      <c r="D153" s="48">
        <v>6600</v>
      </c>
      <c r="E153" s="48">
        <v>6600</v>
      </c>
      <c r="F153" s="48">
        <v>6600</v>
      </c>
      <c r="G153" s="55"/>
      <c r="H153" s="55"/>
      <c r="I153" s="49"/>
      <c r="J153" s="49"/>
      <c r="K153" s="49"/>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row>
    <row r="154" spans="1:254" s="50" customFormat="1" ht="30">
      <c r="A154" s="53"/>
      <c r="B154" s="54" t="s">
        <v>399</v>
      </c>
      <c r="C154" s="103">
        <f>C155+C156</f>
        <v>0</v>
      </c>
      <c r="D154" s="103">
        <f>D155+D156</f>
        <v>0</v>
      </c>
      <c r="E154" s="103">
        <f t="shared" ref="E154:H154" si="56">E155+E156</f>
        <v>0</v>
      </c>
      <c r="F154" s="103">
        <f t="shared" si="56"/>
        <v>0</v>
      </c>
      <c r="G154" s="103">
        <f t="shared" si="56"/>
        <v>0</v>
      </c>
      <c r="H154" s="103">
        <f t="shared" si="56"/>
        <v>0</v>
      </c>
      <c r="I154" s="49"/>
      <c r="J154" s="49"/>
      <c r="K154" s="49"/>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c r="IH154" s="33"/>
      <c r="II154" s="33"/>
      <c r="IJ154" s="33"/>
      <c r="IK154" s="33"/>
      <c r="IL154" s="33"/>
      <c r="IM154" s="33"/>
      <c r="IN154" s="33"/>
    </row>
    <row r="155" spans="1:254" s="50" customFormat="1">
      <c r="A155" s="53"/>
      <c r="B155" s="54" t="s">
        <v>368</v>
      </c>
      <c r="C155" s="103"/>
      <c r="D155" s="48"/>
      <c r="E155" s="48"/>
      <c r="F155" s="48"/>
      <c r="G155" s="55"/>
      <c r="H155" s="55"/>
      <c r="I155" s="49"/>
      <c r="J155" s="49"/>
      <c r="K155" s="49"/>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row>
    <row r="156" spans="1:254" s="50" customFormat="1" ht="75">
      <c r="A156" s="53"/>
      <c r="B156" s="54" t="s">
        <v>370</v>
      </c>
      <c r="C156" s="103"/>
      <c r="D156" s="48"/>
      <c r="E156" s="48"/>
      <c r="F156" s="48"/>
      <c r="G156" s="55"/>
      <c r="H156" s="55"/>
      <c r="I156" s="49"/>
      <c r="J156" s="49"/>
      <c r="K156" s="49"/>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c r="IH156" s="33"/>
      <c r="II156" s="33"/>
      <c r="IJ156" s="33"/>
      <c r="IK156" s="33"/>
      <c r="IL156" s="33"/>
      <c r="IM156" s="33"/>
      <c r="IN156" s="33"/>
    </row>
    <row r="157" spans="1:254" s="50" customFormat="1" ht="16.5" customHeight="1">
      <c r="A157" s="53"/>
      <c r="B157" s="54" t="s">
        <v>400</v>
      </c>
      <c r="C157" s="103"/>
      <c r="D157" s="48"/>
      <c r="E157" s="48"/>
      <c r="F157" s="48"/>
      <c r="G157" s="55"/>
      <c r="H157" s="55"/>
      <c r="I157" s="49"/>
      <c r="J157" s="49"/>
      <c r="K157" s="49"/>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row>
    <row r="158" spans="1:254" ht="16.5" customHeight="1">
      <c r="A158" s="53"/>
      <c r="B158" s="54" t="s">
        <v>381</v>
      </c>
      <c r="C158" s="103"/>
      <c r="D158" s="48"/>
      <c r="E158" s="48"/>
      <c r="F158" s="48"/>
      <c r="G158" s="55"/>
      <c r="H158" s="55"/>
      <c r="I158" s="49"/>
      <c r="J158" s="49"/>
      <c r="K158" s="49"/>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O158" s="50"/>
      <c r="IP158" s="50"/>
      <c r="IQ158" s="50"/>
      <c r="IR158" s="50"/>
      <c r="IS158" s="50"/>
      <c r="IT158" s="50"/>
    </row>
    <row r="159" spans="1:254">
      <c r="A159" s="46"/>
      <c r="B159" s="54" t="s">
        <v>401</v>
      </c>
      <c r="C159" s="103">
        <f t="shared" ref="C159:H159" si="57">C160+C161</f>
        <v>0</v>
      </c>
      <c r="D159" s="103">
        <f t="shared" si="57"/>
        <v>0</v>
      </c>
      <c r="E159" s="103">
        <f t="shared" si="57"/>
        <v>0</v>
      </c>
      <c r="F159" s="103">
        <f t="shared" si="57"/>
        <v>0</v>
      </c>
      <c r="G159" s="103">
        <f t="shared" si="57"/>
        <v>0</v>
      </c>
      <c r="H159" s="103">
        <f t="shared" si="57"/>
        <v>0</v>
      </c>
      <c r="I159" s="49"/>
      <c r="J159" s="49"/>
      <c r="K159" s="49"/>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c r="IM159" s="50"/>
      <c r="IO159" s="50"/>
      <c r="IP159" s="50"/>
      <c r="IQ159" s="50"/>
      <c r="IR159" s="50"/>
      <c r="IS159" s="50"/>
      <c r="IT159" s="50"/>
    </row>
    <row r="160" spans="1:254">
      <c r="A160" s="53"/>
      <c r="B160" s="54" t="s">
        <v>368</v>
      </c>
      <c r="C160" s="103"/>
      <c r="D160" s="48"/>
      <c r="E160" s="48"/>
      <c r="F160" s="48"/>
      <c r="G160" s="55"/>
      <c r="H160" s="55"/>
      <c r="I160" s="49"/>
      <c r="J160" s="49"/>
      <c r="K160" s="49"/>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c r="IM160" s="50"/>
    </row>
    <row r="161" spans="1:254" ht="75">
      <c r="A161" s="53"/>
      <c r="B161" s="54" t="s">
        <v>370</v>
      </c>
      <c r="C161" s="103"/>
      <c r="D161" s="48"/>
      <c r="E161" s="48"/>
      <c r="F161" s="48"/>
      <c r="G161" s="55"/>
      <c r="H161" s="55"/>
      <c r="I161" s="49"/>
      <c r="J161" s="49"/>
      <c r="K161" s="49"/>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c r="IM161" s="50"/>
    </row>
    <row r="162" spans="1:254" ht="45">
      <c r="A162" s="53"/>
      <c r="B162" s="74" t="s">
        <v>506</v>
      </c>
      <c r="C162" s="103"/>
      <c r="D162" s="48"/>
      <c r="E162" s="48"/>
      <c r="F162" s="48"/>
      <c r="G162" s="55"/>
      <c r="H162" s="55"/>
      <c r="I162" s="49"/>
      <c r="J162" s="49"/>
      <c r="K162" s="49"/>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c r="IM162" s="50"/>
    </row>
    <row r="163" spans="1:254" ht="30">
      <c r="A163" s="53"/>
      <c r="B163" s="74" t="s">
        <v>402</v>
      </c>
      <c r="C163" s="103">
        <f>C164+C165</f>
        <v>0</v>
      </c>
      <c r="D163" s="103">
        <f t="shared" ref="D163:H163" si="58">D164+D165</f>
        <v>0</v>
      </c>
      <c r="E163" s="103">
        <f t="shared" si="58"/>
        <v>0</v>
      </c>
      <c r="F163" s="103">
        <f t="shared" si="58"/>
        <v>0</v>
      </c>
      <c r="G163" s="103">
        <f t="shared" si="58"/>
        <v>0</v>
      </c>
      <c r="H163" s="103">
        <f t="shared" si="58"/>
        <v>0</v>
      </c>
      <c r="I163" s="49"/>
      <c r="J163" s="49"/>
      <c r="K163" s="49"/>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c r="IM163" s="50"/>
      <c r="IN163" s="50"/>
    </row>
    <row r="164" spans="1:254">
      <c r="A164" s="53"/>
      <c r="B164" s="74" t="s">
        <v>368</v>
      </c>
      <c r="C164" s="103"/>
      <c r="D164" s="48"/>
      <c r="E164" s="48"/>
      <c r="F164" s="48"/>
      <c r="G164" s="55"/>
      <c r="H164" s="55"/>
      <c r="I164" s="49"/>
      <c r="J164" s="49"/>
      <c r="K164" s="49"/>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c r="IM164" s="50"/>
      <c r="IN164" s="50"/>
    </row>
    <row r="165" spans="1:254" ht="75">
      <c r="A165" s="53"/>
      <c r="B165" s="74" t="s">
        <v>370</v>
      </c>
      <c r="C165" s="103"/>
      <c r="D165" s="48"/>
      <c r="E165" s="48"/>
      <c r="F165" s="48"/>
      <c r="G165" s="55"/>
      <c r="H165" s="55"/>
      <c r="I165" s="49"/>
      <c r="J165" s="49"/>
      <c r="K165" s="49"/>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c r="IM165" s="50"/>
      <c r="IN165" s="50"/>
    </row>
    <row r="166" spans="1:254" s="50" customFormat="1" ht="30">
      <c r="A166" s="53"/>
      <c r="B166" s="75" t="s">
        <v>403</v>
      </c>
      <c r="C166" s="103">
        <f t="shared" ref="C166:H166" si="59">C167+C170+C171+C174</f>
        <v>0</v>
      </c>
      <c r="D166" s="103">
        <f t="shared" si="59"/>
        <v>0</v>
      </c>
      <c r="E166" s="103">
        <f t="shared" si="59"/>
        <v>0</v>
      </c>
      <c r="F166" s="103">
        <f t="shared" si="59"/>
        <v>0</v>
      </c>
      <c r="G166" s="103">
        <f t="shared" si="59"/>
        <v>0</v>
      </c>
      <c r="H166" s="103">
        <f t="shared" si="59"/>
        <v>0</v>
      </c>
      <c r="I166" s="49"/>
      <c r="J166" s="49"/>
      <c r="K166" s="49"/>
      <c r="IO166" s="33"/>
      <c r="IP166" s="33"/>
      <c r="IQ166" s="33"/>
      <c r="IR166" s="33"/>
      <c r="IS166" s="33"/>
      <c r="IT166" s="33"/>
    </row>
    <row r="167" spans="1:254" s="50" customFormat="1">
      <c r="A167" s="53"/>
      <c r="B167" s="76" t="s">
        <v>404</v>
      </c>
      <c r="C167" s="103">
        <f t="shared" ref="C167:H167" si="60">C168+C169</f>
        <v>0</v>
      </c>
      <c r="D167" s="103">
        <f t="shared" si="60"/>
        <v>0</v>
      </c>
      <c r="E167" s="103">
        <f t="shared" si="60"/>
        <v>0</v>
      </c>
      <c r="F167" s="103">
        <f t="shared" si="60"/>
        <v>0</v>
      </c>
      <c r="G167" s="103">
        <f t="shared" si="60"/>
        <v>0</v>
      </c>
      <c r="H167" s="103">
        <f t="shared" si="60"/>
        <v>0</v>
      </c>
      <c r="I167" s="49"/>
      <c r="J167" s="49"/>
      <c r="K167" s="49"/>
      <c r="IO167" s="33"/>
      <c r="IP167" s="33"/>
      <c r="IQ167" s="33"/>
      <c r="IR167" s="33"/>
      <c r="IS167" s="33"/>
      <c r="IT167" s="33"/>
    </row>
    <row r="168" spans="1:254">
      <c r="A168" s="53"/>
      <c r="B168" s="76" t="s">
        <v>368</v>
      </c>
      <c r="C168" s="103"/>
      <c r="D168" s="48"/>
      <c r="E168" s="48"/>
      <c r="F168" s="48"/>
      <c r="G168" s="55"/>
      <c r="H168" s="55"/>
      <c r="I168" s="49"/>
      <c r="J168" s="49"/>
      <c r="K168" s="49"/>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c r="IM168" s="50"/>
      <c r="IN168" s="50"/>
      <c r="IO168" s="50"/>
      <c r="IP168" s="50"/>
      <c r="IQ168" s="50"/>
      <c r="IR168" s="50"/>
      <c r="IS168" s="50"/>
      <c r="IT168" s="50"/>
    </row>
    <row r="169" spans="1:254" ht="75">
      <c r="A169" s="46"/>
      <c r="B169" s="76" t="s">
        <v>370</v>
      </c>
      <c r="C169" s="103"/>
      <c r="D169" s="48"/>
      <c r="E169" s="48"/>
      <c r="F169" s="48"/>
      <c r="G169" s="55"/>
      <c r="H169" s="55"/>
      <c r="I169" s="49"/>
      <c r="J169" s="49"/>
      <c r="K169" s="49"/>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c r="IM169" s="50"/>
      <c r="IN169" s="50"/>
      <c r="IO169" s="50"/>
      <c r="IP169" s="50"/>
      <c r="IQ169" s="50"/>
      <c r="IR169" s="50"/>
      <c r="IS169" s="50"/>
      <c r="IT169" s="50"/>
    </row>
    <row r="170" spans="1:254" ht="30">
      <c r="A170" s="46"/>
      <c r="B170" s="76" t="s">
        <v>405</v>
      </c>
      <c r="C170" s="103"/>
      <c r="D170" s="48"/>
      <c r="E170" s="48"/>
      <c r="F170" s="48"/>
      <c r="G170" s="55"/>
      <c r="H170" s="55"/>
      <c r="I170" s="49"/>
      <c r="J170" s="49"/>
      <c r="K170" s="49"/>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c r="IM170" s="50"/>
      <c r="IN170" s="50"/>
    </row>
    <row r="171" spans="1:254" ht="30">
      <c r="A171" s="46"/>
      <c r="B171" s="76" t="s">
        <v>406</v>
      </c>
      <c r="C171" s="103">
        <f t="shared" ref="C171:H171" si="61">C172+C173</f>
        <v>0</v>
      </c>
      <c r="D171" s="103">
        <f t="shared" si="61"/>
        <v>0</v>
      </c>
      <c r="E171" s="103">
        <f t="shared" si="61"/>
        <v>0</v>
      </c>
      <c r="F171" s="103">
        <f t="shared" si="61"/>
        <v>0</v>
      </c>
      <c r="G171" s="103">
        <f t="shared" si="61"/>
        <v>0</v>
      </c>
      <c r="H171" s="103">
        <f t="shared" si="61"/>
        <v>0</v>
      </c>
      <c r="I171" s="49"/>
      <c r="J171" s="49"/>
      <c r="K171" s="49"/>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row>
    <row r="172" spans="1:254">
      <c r="A172" s="46"/>
      <c r="B172" s="76" t="s">
        <v>368</v>
      </c>
      <c r="C172" s="103"/>
      <c r="D172" s="48"/>
      <c r="E172" s="48"/>
      <c r="F172" s="48"/>
      <c r="G172" s="55"/>
      <c r="H172" s="55"/>
      <c r="I172" s="49"/>
      <c r="J172" s="49"/>
      <c r="K172" s="49"/>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c r="IM172" s="50"/>
      <c r="IN172" s="50"/>
    </row>
    <row r="173" spans="1:254" ht="75">
      <c r="A173" s="53"/>
      <c r="B173" s="76" t="s">
        <v>370</v>
      </c>
      <c r="C173" s="103"/>
      <c r="D173" s="48"/>
      <c r="E173" s="48"/>
      <c r="F173" s="48"/>
      <c r="G173" s="55"/>
      <c r="H173" s="55"/>
      <c r="I173" s="49"/>
      <c r="J173" s="49"/>
      <c r="K173" s="49"/>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row>
    <row r="174" spans="1:254" ht="30" customHeight="1">
      <c r="A174" s="53"/>
      <c r="B174" s="76" t="s">
        <v>407</v>
      </c>
      <c r="C174" s="103"/>
      <c r="D174" s="48"/>
      <c r="E174" s="48"/>
      <c r="F174" s="48"/>
      <c r="G174" s="55"/>
      <c r="H174" s="55"/>
      <c r="I174" s="49"/>
      <c r="J174" s="49"/>
      <c r="K174" s="49"/>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row>
    <row r="175" spans="1:254" ht="16.5" customHeight="1">
      <c r="A175" s="53"/>
      <c r="B175" s="56" t="s">
        <v>361</v>
      </c>
      <c r="C175" s="103"/>
      <c r="D175" s="48"/>
      <c r="E175" s="48"/>
      <c r="F175" s="48"/>
      <c r="G175" s="55"/>
      <c r="H175" s="55"/>
      <c r="I175" s="49"/>
      <c r="J175" s="49"/>
      <c r="K175" s="49"/>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row>
    <row r="176" spans="1:254">
      <c r="A176" s="46" t="s">
        <v>408</v>
      </c>
      <c r="B176" s="56" t="s">
        <v>409</v>
      </c>
      <c r="C176" s="102">
        <f t="shared" ref="C176:H176" si="62">C177+C178</f>
        <v>0</v>
      </c>
      <c r="D176" s="102">
        <f t="shared" si="62"/>
        <v>13059570</v>
      </c>
      <c r="E176" s="102">
        <f t="shared" si="62"/>
        <v>12416690</v>
      </c>
      <c r="F176" s="102">
        <f t="shared" si="62"/>
        <v>12416690</v>
      </c>
      <c r="G176" s="102">
        <f t="shared" si="62"/>
        <v>12416689.619999999</v>
      </c>
      <c r="H176" s="102">
        <f t="shared" si="62"/>
        <v>1037406</v>
      </c>
      <c r="I176" s="49"/>
      <c r="J176" s="49"/>
      <c r="K176" s="49"/>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c r="IM176" s="50"/>
      <c r="IN176" s="50"/>
    </row>
    <row r="177" spans="1:248" ht="16.5" customHeight="1">
      <c r="A177" s="46"/>
      <c r="B177" s="56" t="s">
        <v>368</v>
      </c>
      <c r="C177" s="102"/>
      <c r="D177" s="48">
        <v>13059570</v>
      </c>
      <c r="E177" s="48">
        <v>12416690</v>
      </c>
      <c r="F177" s="48">
        <v>12416690</v>
      </c>
      <c r="G177" s="55">
        <f>11379283.62+1037406</f>
        <v>12416689.619999999</v>
      </c>
      <c r="H177" s="80">
        <v>1037406</v>
      </c>
      <c r="I177" s="49"/>
      <c r="J177" s="49"/>
      <c r="K177" s="49"/>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row>
    <row r="178" spans="1:248" ht="75">
      <c r="A178" s="46"/>
      <c r="B178" s="56" t="s">
        <v>370</v>
      </c>
      <c r="C178" s="102"/>
      <c r="D178" s="48"/>
      <c r="E178" s="48"/>
      <c r="F178" s="48"/>
      <c r="G178" s="55"/>
      <c r="H178" s="55"/>
      <c r="I178" s="49"/>
      <c r="J178" s="49"/>
      <c r="K178" s="49"/>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c r="IM178" s="50"/>
      <c r="IN178" s="50"/>
    </row>
    <row r="179" spans="1:248" ht="16.5" customHeight="1">
      <c r="A179" s="53"/>
      <c r="B179" s="56" t="s">
        <v>361</v>
      </c>
      <c r="C179" s="102"/>
      <c r="D179" s="48"/>
      <c r="E179" s="48"/>
      <c r="F179" s="48"/>
      <c r="G179" s="55"/>
      <c r="H179" s="55"/>
      <c r="I179" s="49"/>
      <c r="J179" s="49"/>
      <c r="K179" s="49"/>
      <c r="L179" s="50"/>
      <c r="IN179" s="50"/>
    </row>
    <row r="180" spans="1:248">
      <c r="A180" s="53" t="s">
        <v>410</v>
      </c>
      <c r="B180" s="56" t="s">
        <v>411</v>
      </c>
      <c r="C180" s="103">
        <f t="shared" ref="C180:H180" si="63">C181+C182</f>
        <v>0</v>
      </c>
      <c r="D180" s="103">
        <f t="shared" si="63"/>
        <v>3538000</v>
      </c>
      <c r="E180" s="103">
        <f t="shared" si="63"/>
        <v>3223900</v>
      </c>
      <c r="F180" s="103">
        <f t="shared" si="63"/>
        <v>3223900</v>
      </c>
      <c r="G180" s="103">
        <f t="shared" si="63"/>
        <v>3223898.3699999996</v>
      </c>
      <c r="H180" s="103">
        <f t="shared" si="63"/>
        <v>218146.32</v>
      </c>
      <c r="I180" s="49"/>
      <c r="J180" s="49"/>
      <c r="K180" s="49"/>
      <c r="IN180" s="50"/>
    </row>
    <row r="181" spans="1:248">
      <c r="A181" s="53"/>
      <c r="B181" s="56" t="s">
        <v>368</v>
      </c>
      <c r="C181" s="103"/>
      <c r="D181" s="48">
        <v>3538000</v>
      </c>
      <c r="E181" s="48">
        <v>3223900</v>
      </c>
      <c r="F181" s="48">
        <v>3223900</v>
      </c>
      <c r="G181" s="55">
        <f>3005752.05+218146.32</f>
        <v>3223898.3699999996</v>
      </c>
      <c r="H181" s="118">
        <v>218146.32</v>
      </c>
      <c r="I181" s="49"/>
      <c r="J181" s="49"/>
      <c r="K181" s="49"/>
      <c r="IN181" s="50"/>
    </row>
    <row r="182" spans="1:248" ht="75">
      <c r="A182" s="53"/>
      <c r="B182" s="56" t="s">
        <v>370</v>
      </c>
      <c r="C182" s="103"/>
      <c r="D182" s="48"/>
      <c r="E182" s="48"/>
      <c r="F182" s="48"/>
      <c r="G182" s="62"/>
      <c r="H182" s="62"/>
      <c r="I182" s="49"/>
      <c r="J182" s="49"/>
      <c r="K182" s="49"/>
      <c r="IN182" s="50"/>
    </row>
    <row r="183" spans="1:248">
      <c r="A183" s="53"/>
      <c r="B183" s="56" t="s">
        <v>361</v>
      </c>
      <c r="C183" s="103"/>
      <c r="D183" s="48"/>
      <c r="E183" s="48"/>
      <c r="F183" s="48"/>
      <c r="G183" s="62"/>
      <c r="H183" s="62"/>
      <c r="I183" s="49"/>
      <c r="J183" s="49"/>
      <c r="K183" s="49"/>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row>
    <row r="184" spans="1:248">
      <c r="A184" s="53" t="s">
        <v>412</v>
      </c>
      <c r="B184" s="51" t="s">
        <v>413</v>
      </c>
      <c r="C184" s="102">
        <f>+C185+C196+C201+C206+C218</f>
        <v>0</v>
      </c>
      <c r="D184" s="102">
        <f t="shared" ref="D184:H184" si="64">+D185+D196+D201+D206+D218</f>
        <v>100029040</v>
      </c>
      <c r="E184" s="102">
        <f t="shared" si="64"/>
        <v>84808620</v>
      </c>
      <c r="F184" s="102">
        <f t="shared" si="64"/>
        <v>84808620</v>
      </c>
      <c r="G184" s="102">
        <f t="shared" si="64"/>
        <v>84508963.730000004</v>
      </c>
      <c r="H184" s="102">
        <f t="shared" si="64"/>
        <v>7100142.0299999993</v>
      </c>
      <c r="I184" s="49"/>
      <c r="J184" s="49"/>
      <c r="K184" s="49"/>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c r="IM184" s="50"/>
    </row>
    <row r="185" spans="1:248">
      <c r="A185" s="53" t="s">
        <v>414</v>
      </c>
      <c r="B185" s="51" t="s">
        <v>415</v>
      </c>
      <c r="C185" s="102">
        <f>+C186+C190+C191+C192+C193+C194</f>
        <v>0</v>
      </c>
      <c r="D185" s="102">
        <f t="shared" ref="D185:H185" si="65">+D186+D190+D191+D192+D193+D194</f>
        <v>59295060</v>
      </c>
      <c r="E185" s="102">
        <f t="shared" si="65"/>
        <v>48320330</v>
      </c>
      <c r="F185" s="102">
        <f t="shared" si="65"/>
        <v>48320330</v>
      </c>
      <c r="G185" s="102">
        <f t="shared" si="65"/>
        <v>48021999</v>
      </c>
      <c r="H185" s="102">
        <f t="shared" si="65"/>
        <v>4153765.3</v>
      </c>
      <c r="I185" s="49"/>
      <c r="J185" s="49"/>
      <c r="K185" s="49"/>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row>
    <row r="186" spans="1:248" ht="16.5" customHeight="1">
      <c r="A186" s="53"/>
      <c r="B186" s="62" t="s">
        <v>512</v>
      </c>
      <c r="C186" s="103">
        <f>C187+C188+C189</f>
        <v>0</v>
      </c>
      <c r="D186" s="120">
        <v>56315000</v>
      </c>
      <c r="E186" s="120">
        <v>45368180</v>
      </c>
      <c r="F186" s="120">
        <v>45368180</v>
      </c>
      <c r="G186" s="120">
        <f t="shared" ref="G186:H186" si="66">G187+G188+G189</f>
        <v>45368180</v>
      </c>
      <c r="H186" s="120">
        <f t="shared" si="66"/>
        <v>3934550.9</v>
      </c>
      <c r="I186" s="49"/>
      <c r="J186" s="49"/>
      <c r="K186" s="49"/>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row>
    <row r="187" spans="1:248" s="134" customFormat="1" ht="16.5" customHeight="1">
      <c r="A187" s="130"/>
      <c r="B187" s="131" t="s">
        <v>417</v>
      </c>
      <c r="C187" s="120"/>
      <c r="D187" s="126"/>
      <c r="E187" s="126"/>
      <c r="F187" s="127"/>
      <c r="G187" s="128">
        <f>15587031.2+2338131.9+2307210.18+154744.46</f>
        <v>20387117.739999998</v>
      </c>
      <c r="H187" s="129">
        <v>154744.46</v>
      </c>
      <c r="I187" s="132"/>
      <c r="J187" s="132"/>
      <c r="K187" s="132"/>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c r="HS187" s="133"/>
      <c r="HT187" s="133"/>
      <c r="HU187" s="133"/>
      <c r="HV187" s="133"/>
      <c r="HW187" s="133"/>
      <c r="HX187" s="133"/>
      <c r="HY187" s="133"/>
      <c r="HZ187" s="133"/>
      <c r="IA187" s="133"/>
      <c r="IB187" s="133"/>
      <c r="IC187" s="133"/>
      <c r="ID187" s="133"/>
      <c r="IE187" s="133"/>
      <c r="IF187" s="133"/>
      <c r="IG187" s="133"/>
      <c r="IH187" s="133"/>
      <c r="II187" s="133"/>
      <c r="IJ187" s="133"/>
      <c r="IK187" s="133"/>
      <c r="IL187" s="133"/>
      <c r="IM187" s="133"/>
      <c r="IN187" s="133"/>
    </row>
    <row r="188" spans="1:248">
      <c r="A188" s="53"/>
      <c r="B188" s="101" t="s">
        <v>418</v>
      </c>
      <c r="C188" s="103"/>
      <c r="D188" s="102"/>
      <c r="E188" s="102"/>
      <c r="F188" s="117"/>
      <c r="G188" s="55">
        <f>14469608.8+3415500.1+3237066.92+3779806.44</f>
        <v>24901982.260000002</v>
      </c>
      <c r="H188" s="80">
        <v>3779806.44</v>
      </c>
      <c r="I188" s="49"/>
      <c r="J188" s="49"/>
      <c r="K188" s="49"/>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c r="IG188" s="50"/>
      <c r="IH188" s="50"/>
      <c r="II188" s="50"/>
      <c r="IJ188" s="50"/>
      <c r="IK188" s="50"/>
      <c r="IL188" s="50"/>
      <c r="IM188" s="50"/>
      <c r="IN188" s="50"/>
    </row>
    <row r="189" spans="1:248">
      <c r="A189" s="53"/>
      <c r="B189" s="101" t="s">
        <v>511</v>
      </c>
      <c r="C189" s="103"/>
      <c r="D189" s="102"/>
      <c r="E189" s="102"/>
      <c r="F189" s="117"/>
      <c r="G189" s="55">
        <v>79080</v>
      </c>
      <c r="H189" s="80"/>
      <c r="I189" s="49"/>
      <c r="J189" s="49"/>
      <c r="K189" s="49"/>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c r="IG189" s="50"/>
      <c r="IH189" s="50"/>
      <c r="II189" s="50"/>
      <c r="IJ189" s="50"/>
      <c r="IK189" s="50"/>
      <c r="IL189" s="50"/>
      <c r="IM189" s="50"/>
      <c r="IN189" s="50"/>
    </row>
    <row r="190" spans="1:248">
      <c r="A190" s="46"/>
      <c r="B190" s="62" t="s">
        <v>419</v>
      </c>
      <c r="C190" s="103"/>
      <c r="D190" s="48">
        <v>2382000</v>
      </c>
      <c r="E190" s="48">
        <v>2341430</v>
      </c>
      <c r="F190" s="48">
        <v>2341430</v>
      </c>
      <c r="G190" s="55">
        <f>1896410+215020</f>
        <v>2111430</v>
      </c>
      <c r="H190" s="54">
        <v>215020</v>
      </c>
      <c r="I190" s="49"/>
      <c r="J190" s="49"/>
      <c r="K190" s="49"/>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c r="IM190" s="50"/>
      <c r="IN190" s="50"/>
    </row>
    <row r="191" spans="1:248" ht="45">
      <c r="A191" s="46"/>
      <c r="B191" s="62" t="s">
        <v>420</v>
      </c>
      <c r="C191" s="103"/>
      <c r="D191" s="48">
        <v>115990</v>
      </c>
      <c r="E191" s="48">
        <v>119000</v>
      </c>
      <c r="F191" s="48">
        <v>119000</v>
      </c>
      <c r="G191" s="55">
        <v>105630</v>
      </c>
      <c r="H191" s="54"/>
      <c r="I191" s="49"/>
      <c r="J191" s="49"/>
      <c r="K191" s="49"/>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c r="IG191" s="50"/>
      <c r="IH191" s="50"/>
      <c r="II191" s="50"/>
      <c r="IJ191" s="50"/>
      <c r="IK191" s="50"/>
      <c r="IL191" s="50"/>
      <c r="IM191" s="50"/>
      <c r="IN191" s="50"/>
    </row>
    <row r="192" spans="1:248" ht="45">
      <c r="A192" s="46"/>
      <c r="B192" s="62" t="s">
        <v>421</v>
      </c>
      <c r="C192" s="103"/>
      <c r="D192" s="48">
        <v>458000</v>
      </c>
      <c r="E192" s="48">
        <v>467650</v>
      </c>
      <c r="F192" s="48">
        <v>467650</v>
      </c>
      <c r="G192" s="55">
        <v>422750</v>
      </c>
      <c r="H192" s="54"/>
      <c r="I192" s="49"/>
      <c r="J192" s="49"/>
      <c r="K192" s="49"/>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c r="IG192" s="50"/>
      <c r="IH192" s="50"/>
      <c r="II192" s="50"/>
      <c r="IJ192" s="50"/>
      <c r="IK192" s="50"/>
      <c r="IL192" s="50"/>
      <c r="IM192" s="50"/>
      <c r="IN192" s="50"/>
    </row>
    <row r="193" spans="1:248" ht="75">
      <c r="A193" s="46"/>
      <c r="B193" s="62" t="s">
        <v>370</v>
      </c>
      <c r="C193" s="103"/>
      <c r="D193" s="48">
        <v>30</v>
      </c>
      <c r="E193" s="48">
        <v>30</v>
      </c>
      <c r="F193" s="48">
        <v>30</v>
      </c>
      <c r="G193" s="55">
        <v>22</v>
      </c>
      <c r="H193" s="54"/>
      <c r="I193" s="49"/>
      <c r="J193" s="49"/>
      <c r="K193" s="49"/>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c r="IM193" s="50"/>
      <c r="IN193" s="50"/>
    </row>
    <row r="194" spans="1:248" ht="60">
      <c r="A194" s="46"/>
      <c r="B194" s="62" t="s">
        <v>507</v>
      </c>
      <c r="C194" s="103"/>
      <c r="D194" s="48">
        <v>24040</v>
      </c>
      <c r="E194" s="48">
        <v>24040</v>
      </c>
      <c r="F194" s="48">
        <v>24040</v>
      </c>
      <c r="G194" s="55">
        <f>9792.6+4194.4</f>
        <v>13987</v>
      </c>
      <c r="H194" s="54">
        <v>4194.3999999999996</v>
      </c>
      <c r="I194" s="49"/>
      <c r="J194" s="49"/>
      <c r="K194" s="49"/>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c r="IM194" s="50"/>
      <c r="IN194" s="50"/>
    </row>
    <row r="195" spans="1:248">
      <c r="A195" s="46"/>
      <c r="B195" s="56" t="s">
        <v>361</v>
      </c>
      <c r="C195" s="103"/>
      <c r="D195" s="102"/>
      <c r="E195" s="102"/>
      <c r="F195" s="117"/>
      <c r="G195" s="55">
        <f>-4392.91-1086</f>
        <v>-5478.91</v>
      </c>
      <c r="H195" s="54"/>
      <c r="I195" s="49"/>
      <c r="J195" s="49"/>
      <c r="K195" s="49"/>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c r="HO195" s="50"/>
      <c r="HP195" s="50"/>
      <c r="HQ195" s="50"/>
      <c r="HR195" s="50"/>
      <c r="HS195" s="50"/>
      <c r="HT195" s="50"/>
      <c r="HU195" s="50"/>
      <c r="HV195" s="50"/>
      <c r="HW195" s="50"/>
      <c r="HX195" s="50"/>
      <c r="HY195" s="50"/>
      <c r="HZ195" s="50"/>
      <c r="IA195" s="50"/>
      <c r="IB195" s="50"/>
      <c r="IC195" s="50"/>
      <c r="ID195" s="50"/>
      <c r="IE195" s="50"/>
      <c r="IF195" s="50"/>
      <c r="IG195" s="50"/>
      <c r="IH195" s="50"/>
      <c r="II195" s="50"/>
      <c r="IJ195" s="50"/>
      <c r="IK195" s="50"/>
      <c r="IL195" s="50"/>
      <c r="IM195" s="50"/>
      <c r="IN195" s="50"/>
    </row>
    <row r="196" spans="1:248">
      <c r="A196" s="46" t="s">
        <v>422</v>
      </c>
      <c r="B196" s="77" t="s">
        <v>423</v>
      </c>
      <c r="C196" s="103">
        <f>C197+C198+C199</f>
        <v>0</v>
      </c>
      <c r="D196" s="103">
        <f t="shared" ref="D196:H196" si="67">D197+D198+D199</f>
        <v>23493670</v>
      </c>
      <c r="E196" s="103">
        <f t="shared" si="67"/>
        <v>21235220</v>
      </c>
      <c r="F196" s="103">
        <f t="shared" si="67"/>
        <v>21235220</v>
      </c>
      <c r="G196" s="103">
        <f t="shared" si="67"/>
        <v>21234466.48</v>
      </c>
      <c r="H196" s="103">
        <f t="shared" si="67"/>
        <v>1662976.22</v>
      </c>
      <c r="I196" s="49"/>
      <c r="J196" s="49"/>
      <c r="K196" s="49"/>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c r="HO196" s="50"/>
      <c r="HP196" s="50"/>
      <c r="HQ196" s="50"/>
      <c r="HR196" s="50"/>
      <c r="HS196" s="50"/>
      <c r="HT196" s="50"/>
      <c r="HU196" s="50"/>
      <c r="HV196" s="50"/>
      <c r="HW196" s="50"/>
      <c r="HX196" s="50"/>
      <c r="HY196" s="50"/>
      <c r="HZ196" s="50"/>
      <c r="IA196" s="50"/>
      <c r="IB196" s="50"/>
      <c r="IC196" s="50"/>
      <c r="ID196" s="50"/>
      <c r="IE196" s="50"/>
      <c r="IF196" s="50"/>
      <c r="IG196" s="50"/>
      <c r="IH196" s="50"/>
      <c r="II196" s="50"/>
      <c r="IJ196" s="50"/>
      <c r="IK196" s="50"/>
      <c r="IL196" s="50"/>
      <c r="IM196" s="50"/>
      <c r="IN196" s="50"/>
    </row>
    <row r="197" spans="1:248">
      <c r="A197" s="46"/>
      <c r="B197" s="78" t="s">
        <v>368</v>
      </c>
      <c r="C197" s="103"/>
      <c r="D197" s="48">
        <v>23486000</v>
      </c>
      <c r="E197" s="48">
        <v>21227550</v>
      </c>
      <c r="F197" s="48">
        <v>21227550</v>
      </c>
      <c r="G197" s="48">
        <f>19565110+1662440</f>
        <v>21227550</v>
      </c>
      <c r="H197" s="103">
        <v>1662440</v>
      </c>
      <c r="I197" s="49"/>
      <c r="J197" s="49"/>
      <c r="K197" s="49"/>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c r="HO197" s="50"/>
      <c r="HP197" s="50"/>
      <c r="HQ197" s="50"/>
      <c r="HR197" s="50"/>
      <c r="HS197" s="50"/>
      <c r="HT197" s="50"/>
      <c r="HU197" s="50"/>
      <c r="HV197" s="50"/>
      <c r="HW197" s="50"/>
      <c r="HX197" s="50"/>
      <c r="HY197" s="50"/>
      <c r="HZ197" s="50"/>
      <c r="IA197" s="50"/>
      <c r="IB197" s="50"/>
      <c r="IC197" s="50"/>
      <c r="ID197" s="50"/>
      <c r="IE197" s="50"/>
      <c r="IF197" s="50"/>
      <c r="IG197" s="50"/>
      <c r="IH197" s="50"/>
      <c r="II197" s="50"/>
      <c r="IJ197" s="50"/>
      <c r="IK197" s="50"/>
      <c r="IL197" s="50"/>
      <c r="IM197" s="50"/>
      <c r="IN197" s="50"/>
    </row>
    <row r="198" spans="1:248" ht="75">
      <c r="A198" s="46"/>
      <c r="B198" s="78" t="s">
        <v>370</v>
      </c>
      <c r="C198" s="103"/>
      <c r="D198" s="48">
        <v>7670</v>
      </c>
      <c r="E198" s="48">
        <v>7670</v>
      </c>
      <c r="F198" s="48">
        <v>7670</v>
      </c>
      <c r="G198" s="48">
        <f>6380.26+536.22</f>
        <v>6916.4800000000005</v>
      </c>
      <c r="H198" s="103">
        <v>536.22</v>
      </c>
      <c r="I198" s="49"/>
      <c r="J198" s="49"/>
      <c r="K198" s="49"/>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c r="IM198" s="50"/>
      <c r="IN198" s="50"/>
    </row>
    <row r="199" spans="1:248" ht="30">
      <c r="A199" s="46"/>
      <c r="B199" s="78" t="s">
        <v>508</v>
      </c>
      <c r="C199" s="103"/>
      <c r="D199" s="102"/>
      <c r="E199" s="102"/>
      <c r="F199" s="117"/>
      <c r="G199" s="48"/>
      <c r="H199" s="103"/>
      <c r="I199" s="49"/>
      <c r="J199" s="49"/>
      <c r="K199" s="49"/>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c r="IM199" s="50"/>
      <c r="IN199" s="50"/>
    </row>
    <row r="200" spans="1:248">
      <c r="A200" s="46"/>
      <c r="B200" s="56" t="s">
        <v>361</v>
      </c>
      <c r="C200" s="103"/>
      <c r="D200" s="102"/>
      <c r="E200" s="102"/>
      <c r="F200" s="117"/>
      <c r="G200" s="48">
        <f>-1575.6-4412.42</f>
        <v>-5988.02</v>
      </c>
      <c r="H200" s="54"/>
      <c r="I200" s="49"/>
      <c r="J200" s="49"/>
      <c r="K200" s="49"/>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IN200" s="50"/>
    </row>
    <row r="201" spans="1:248">
      <c r="A201" s="46" t="s">
        <v>424</v>
      </c>
      <c r="B201" s="79" t="s">
        <v>425</v>
      </c>
      <c r="C201" s="103">
        <f t="shared" ref="C201:H201" si="68">+C202+C203+C204</f>
        <v>0</v>
      </c>
      <c r="D201" s="103">
        <f t="shared" si="68"/>
        <v>3116000</v>
      </c>
      <c r="E201" s="103">
        <f t="shared" si="68"/>
        <v>2672440</v>
      </c>
      <c r="F201" s="103">
        <f t="shared" si="68"/>
        <v>2672440</v>
      </c>
      <c r="G201" s="103">
        <f t="shared" si="68"/>
        <v>2672440</v>
      </c>
      <c r="H201" s="103">
        <f t="shared" si="68"/>
        <v>180750.01</v>
      </c>
      <c r="I201" s="49"/>
      <c r="J201" s="49"/>
      <c r="K201" s="49"/>
      <c r="L201" s="50"/>
      <c r="IN201" s="50"/>
    </row>
    <row r="202" spans="1:248">
      <c r="A202" s="46"/>
      <c r="B202" s="62" t="s">
        <v>416</v>
      </c>
      <c r="C202" s="103"/>
      <c r="D202" s="48">
        <v>3116000</v>
      </c>
      <c r="E202" s="48">
        <v>2672440</v>
      </c>
      <c r="F202" s="48">
        <v>2672440</v>
      </c>
      <c r="G202" s="55">
        <f>2491689.99+180750.01</f>
        <v>2672440</v>
      </c>
      <c r="H202" s="80">
        <v>180750.01</v>
      </c>
      <c r="I202" s="49"/>
      <c r="J202" s="49"/>
      <c r="K202" s="49"/>
      <c r="M202" s="80"/>
      <c r="N202" s="80"/>
      <c r="O202" s="80"/>
      <c r="P202" s="80"/>
      <c r="Q202" s="80"/>
      <c r="R202" s="80"/>
      <c r="S202" s="80"/>
      <c r="T202" s="80"/>
      <c r="U202" s="80"/>
      <c r="V202" s="80"/>
      <c r="W202" s="80"/>
      <c r="X202" s="80"/>
      <c r="Y202" s="80"/>
      <c r="Z202" s="80"/>
      <c r="AA202" s="80"/>
      <c r="AB202" s="80"/>
      <c r="AC202" s="80"/>
      <c r="AD202" s="80"/>
      <c r="AE202" s="80"/>
      <c r="IN202" s="50"/>
    </row>
    <row r="203" spans="1:248" ht="30">
      <c r="A203" s="46"/>
      <c r="B203" s="62" t="s">
        <v>426</v>
      </c>
      <c r="C203" s="103"/>
      <c r="D203" s="48"/>
      <c r="E203" s="48"/>
      <c r="F203" s="48"/>
      <c r="G203" s="55"/>
      <c r="H203" s="55"/>
      <c r="I203" s="80"/>
      <c r="J203" s="49"/>
      <c r="K203" s="49"/>
      <c r="L203" s="80"/>
      <c r="M203" s="34"/>
      <c r="N203" s="34"/>
      <c r="O203" s="34"/>
      <c r="P203" s="34"/>
      <c r="Q203" s="34"/>
      <c r="R203" s="34"/>
      <c r="S203" s="34"/>
      <c r="T203" s="34"/>
      <c r="U203" s="34"/>
      <c r="V203" s="34"/>
      <c r="W203" s="34"/>
      <c r="X203" s="34"/>
      <c r="Y203" s="34"/>
      <c r="Z203" s="34"/>
      <c r="AA203" s="34"/>
      <c r="AB203" s="34"/>
      <c r="AC203" s="34"/>
      <c r="AD203" s="34"/>
      <c r="AE203" s="34"/>
      <c r="IN203" s="50"/>
    </row>
    <row r="204" spans="1:248" ht="75">
      <c r="A204" s="46"/>
      <c r="B204" s="62" t="s">
        <v>370</v>
      </c>
      <c r="C204" s="103"/>
      <c r="D204" s="48"/>
      <c r="E204" s="48"/>
      <c r="F204" s="48"/>
      <c r="G204" s="55"/>
      <c r="H204" s="55"/>
      <c r="I204" s="34"/>
      <c r="J204" s="49"/>
      <c r="K204" s="49"/>
      <c r="L204" s="34"/>
      <c r="M204" s="34"/>
      <c r="N204" s="34"/>
      <c r="O204" s="34"/>
      <c r="P204" s="34"/>
      <c r="Q204" s="34"/>
      <c r="R204" s="34"/>
      <c r="S204" s="34"/>
      <c r="T204" s="34"/>
      <c r="U204" s="34"/>
      <c r="V204" s="34"/>
      <c r="W204" s="34"/>
      <c r="X204" s="34"/>
      <c r="Y204" s="34"/>
      <c r="Z204" s="34"/>
      <c r="AA204" s="34"/>
      <c r="AB204" s="34"/>
      <c r="AC204" s="34"/>
      <c r="AD204" s="34"/>
      <c r="AE204" s="34"/>
    </row>
    <row r="205" spans="1:248">
      <c r="A205" s="46"/>
      <c r="B205" s="56" t="s">
        <v>361</v>
      </c>
      <c r="C205" s="103"/>
      <c r="D205" s="48"/>
      <c r="E205" s="48"/>
      <c r="F205" s="48"/>
      <c r="G205" s="55">
        <f>-1120</f>
        <v>-1120</v>
      </c>
      <c r="H205" s="55"/>
      <c r="I205" s="34"/>
      <c r="J205" s="49"/>
      <c r="K205" s="49"/>
      <c r="L205" s="34"/>
    </row>
    <row r="206" spans="1:248">
      <c r="A206" s="46" t="s">
        <v>427</v>
      </c>
      <c r="B206" s="79" t="s">
        <v>428</v>
      </c>
      <c r="C206" s="102">
        <f>+C207+C208+C212+C215+C209+C216</f>
        <v>0</v>
      </c>
      <c r="D206" s="102">
        <f t="shared" ref="D206:H206" si="69">+D207+D208+D212+D215+D209+D216</f>
        <v>10047310</v>
      </c>
      <c r="E206" s="102">
        <f t="shared" si="69"/>
        <v>9415940</v>
      </c>
      <c r="F206" s="102">
        <f t="shared" si="69"/>
        <v>9415940</v>
      </c>
      <c r="G206" s="102">
        <f t="shared" si="69"/>
        <v>9415368.2699999996</v>
      </c>
      <c r="H206" s="102">
        <f t="shared" si="69"/>
        <v>778420.5</v>
      </c>
      <c r="I206" s="49"/>
      <c r="J206" s="49"/>
      <c r="K206" s="49"/>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c r="HO206" s="50"/>
      <c r="HP206" s="50"/>
      <c r="HQ206" s="50"/>
      <c r="HR206" s="50"/>
      <c r="HS206" s="50"/>
      <c r="HT206" s="50"/>
      <c r="HU206" s="50"/>
      <c r="HV206" s="50"/>
      <c r="HW206" s="50"/>
      <c r="HX206" s="50"/>
      <c r="HY206" s="50"/>
      <c r="HZ206" s="50"/>
      <c r="IA206" s="50"/>
      <c r="IB206" s="50"/>
      <c r="IC206" s="50"/>
      <c r="ID206" s="50"/>
      <c r="IE206" s="50"/>
      <c r="IF206" s="50"/>
      <c r="IG206" s="50"/>
      <c r="IH206" s="50"/>
      <c r="II206" s="50"/>
      <c r="IJ206" s="50"/>
      <c r="IK206" s="50"/>
      <c r="IL206" s="50"/>
      <c r="IM206" s="50"/>
    </row>
    <row r="207" spans="1:248">
      <c r="A207" s="46"/>
      <c r="B207" s="54" t="s">
        <v>429</v>
      </c>
      <c r="C207" s="103"/>
      <c r="D207" s="48">
        <v>9987200</v>
      </c>
      <c r="E207" s="48">
        <v>9362110</v>
      </c>
      <c r="F207" s="48">
        <v>9362110</v>
      </c>
      <c r="G207" s="55">
        <f>8589799.5+772310.5</f>
        <v>9362110</v>
      </c>
      <c r="H207" s="80">
        <v>772310.5</v>
      </c>
      <c r="I207" s="49"/>
      <c r="J207" s="49"/>
      <c r="K207" s="49"/>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row>
    <row r="208" spans="1:248" ht="75">
      <c r="A208" s="46"/>
      <c r="B208" s="54" t="s">
        <v>370</v>
      </c>
      <c r="C208" s="103"/>
      <c r="D208" s="48">
        <v>1440</v>
      </c>
      <c r="E208" s="48">
        <v>1440</v>
      </c>
      <c r="F208" s="48">
        <v>1440</v>
      </c>
      <c r="G208" s="55">
        <v>870.27</v>
      </c>
      <c r="H208" s="80"/>
      <c r="I208" s="49"/>
      <c r="J208" s="49"/>
      <c r="K208" s="49"/>
      <c r="L208" s="50"/>
    </row>
    <row r="209" spans="1:248">
      <c r="A209" s="46"/>
      <c r="B209" s="54" t="s">
        <v>430</v>
      </c>
      <c r="C209" s="103">
        <f t="shared" ref="C209:H209" si="70">C210+C211</f>
        <v>0</v>
      </c>
      <c r="D209" s="103">
        <f t="shared" si="70"/>
        <v>0</v>
      </c>
      <c r="E209" s="103">
        <f t="shared" si="70"/>
        <v>0</v>
      </c>
      <c r="F209" s="103">
        <f t="shared" si="70"/>
        <v>0</v>
      </c>
      <c r="G209" s="103">
        <f t="shared" si="70"/>
        <v>0</v>
      </c>
      <c r="H209" s="103">
        <f t="shared" si="70"/>
        <v>0</v>
      </c>
      <c r="I209" s="49"/>
      <c r="J209" s="49"/>
      <c r="K209" s="49"/>
      <c r="L209" s="50"/>
    </row>
    <row r="210" spans="1:248">
      <c r="A210" s="46"/>
      <c r="B210" s="54" t="s">
        <v>368</v>
      </c>
      <c r="C210" s="103"/>
      <c r="D210" s="48"/>
      <c r="E210" s="48"/>
      <c r="F210" s="48"/>
      <c r="G210" s="55"/>
      <c r="H210" s="55"/>
      <c r="I210" s="49"/>
      <c r="J210" s="49"/>
      <c r="K210" s="49"/>
      <c r="L210" s="50"/>
    </row>
    <row r="211" spans="1:248" ht="75">
      <c r="A211" s="46"/>
      <c r="B211" s="54" t="s">
        <v>370</v>
      </c>
      <c r="C211" s="103"/>
      <c r="D211" s="48"/>
      <c r="E211" s="48"/>
      <c r="F211" s="48"/>
      <c r="G211" s="55"/>
      <c r="H211" s="55"/>
      <c r="I211" s="49"/>
      <c r="J211" s="49"/>
      <c r="K211" s="49"/>
      <c r="L211" s="50"/>
    </row>
    <row r="212" spans="1:248" ht="30">
      <c r="A212" s="46"/>
      <c r="B212" s="54" t="s">
        <v>431</v>
      </c>
      <c r="C212" s="103">
        <f t="shared" ref="C212:H212" si="71">C213+C214</f>
        <v>0</v>
      </c>
      <c r="D212" s="103">
        <f t="shared" si="71"/>
        <v>58670</v>
      </c>
      <c r="E212" s="103">
        <f t="shared" si="71"/>
        <v>52390</v>
      </c>
      <c r="F212" s="103">
        <f t="shared" si="71"/>
        <v>52390</v>
      </c>
      <c r="G212" s="103">
        <f t="shared" si="71"/>
        <v>52388</v>
      </c>
      <c r="H212" s="103">
        <f t="shared" si="71"/>
        <v>6110</v>
      </c>
      <c r="I212" s="49"/>
      <c r="J212" s="49"/>
      <c r="K212" s="49"/>
    </row>
    <row r="213" spans="1:248">
      <c r="A213" s="53"/>
      <c r="B213" s="54" t="s">
        <v>368</v>
      </c>
      <c r="C213" s="103"/>
      <c r="D213" s="48">
        <v>58670</v>
      </c>
      <c r="E213" s="48">
        <v>52350</v>
      </c>
      <c r="F213" s="48">
        <v>52350</v>
      </c>
      <c r="G213" s="55">
        <f>46240+6110</f>
        <v>52350</v>
      </c>
      <c r="H213" s="80">
        <v>6110</v>
      </c>
      <c r="I213" s="49"/>
      <c r="J213" s="49"/>
      <c r="K213" s="49"/>
    </row>
    <row r="214" spans="1:248" ht="75">
      <c r="A214" s="53"/>
      <c r="B214" s="54" t="s">
        <v>370</v>
      </c>
      <c r="C214" s="103"/>
      <c r="D214" s="102"/>
      <c r="E214" s="48">
        <v>40</v>
      </c>
      <c r="F214" s="48">
        <v>40</v>
      </c>
      <c r="G214" s="55">
        <v>38</v>
      </c>
      <c r="H214" s="80"/>
      <c r="I214" s="49"/>
      <c r="J214" s="49"/>
      <c r="K214" s="49"/>
      <c r="IN214" s="50"/>
    </row>
    <row r="215" spans="1:248" ht="30">
      <c r="A215" s="46"/>
      <c r="B215" s="54" t="s">
        <v>432</v>
      </c>
      <c r="C215" s="103"/>
      <c r="D215" s="102"/>
      <c r="E215" s="102"/>
      <c r="F215" s="117"/>
      <c r="G215" s="80"/>
      <c r="H215" s="80"/>
      <c r="I215" s="49"/>
      <c r="J215" s="49"/>
      <c r="K215" s="49"/>
      <c r="IN215" s="50"/>
    </row>
    <row r="216" spans="1:248">
      <c r="A216" s="53"/>
      <c r="B216" s="54" t="s">
        <v>509</v>
      </c>
      <c r="C216" s="103"/>
      <c r="D216" s="102"/>
      <c r="E216" s="102"/>
      <c r="F216" s="117"/>
      <c r="G216" s="80"/>
      <c r="H216" s="80"/>
      <c r="I216" s="49"/>
      <c r="J216" s="49"/>
      <c r="K216" s="49"/>
    </row>
    <row r="217" spans="1:248">
      <c r="A217" s="53"/>
      <c r="B217" s="56" t="s">
        <v>361</v>
      </c>
      <c r="C217" s="103"/>
      <c r="D217" s="102"/>
      <c r="E217" s="102"/>
      <c r="F217" s="117"/>
      <c r="G217" s="55">
        <f>-794.07</f>
        <v>-794.07</v>
      </c>
      <c r="H217" s="80"/>
      <c r="I217" s="49"/>
      <c r="J217" s="49"/>
      <c r="K217" s="49"/>
    </row>
    <row r="218" spans="1:248" ht="16.5" customHeight="1">
      <c r="A218" s="53" t="s">
        <v>433</v>
      </c>
      <c r="B218" s="79" t="s">
        <v>434</v>
      </c>
      <c r="C218" s="103">
        <f>+C219+C220+C221</f>
        <v>0</v>
      </c>
      <c r="D218" s="103">
        <f t="shared" ref="D218:H218" si="72">+D219+D220+D221</f>
        <v>4077000</v>
      </c>
      <c r="E218" s="103">
        <f t="shared" si="72"/>
        <v>3164690</v>
      </c>
      <c r="F218" s="103">
        <f t="shared" si="72"/>
        <v>3164690</v>
      </c>
      <c r="G218" s="103">
        <f t="shared" si="72"/>
        <v>3164689.98</v>
      </c>
      <c r="H218" s="103">
        <f t="shared" si="72"/>
        <v>324230</v>
      </c>
      <c r="J218" s="49"/>
      <c r="K218" s="49"/>
    </row>
    <row r="219" spans="1:248">
      <c r="A219" s="53"/>
      <c r="B219" s="62" t="s">
        <v>416</v>
      </c>
      <c r="C219" s="103"/>
      <c r="D219" s="48">
        <v>4077000</v>
      </c>
      <c r="E219" s="48">
        <v>3164690</v>
      </c>
      <c r="F219" s="48">
        <v>3164690</v>
      </c>
      <c r="G219" s="55">
        <f>2840459.98+324230</f>
        <v>3164689.98</v>
      </c>
      <c r="H219" s="80">
        <v>324230</v>
      </c>
      <c r="J219" s="49"/>
      <c r="K219" s="49"/>
    </row>
    <row r="220" spans="1:248" ht="30">
      <c r="A220" s="53"/>
      <c r="B220" s="62" t="s">
        <v>426</v>
      </c>
      <c r="C220" s="103"/>
      <c r="D220" s="102"/>
      <c r="E220" s="102"/>
      <c r="F220" s="117"/>
      <c r="G220" s="80"/>
      <c r="H220" s="80"/>
      <c r="J220" s="49"/>
      <c r="K220" s="49"/>
    </row>
    <row r="221" spans="1:248" ht="75">
      <c r="A221" s="53"/>
      <c r="B221" s="62" t="s">
        <v>370</v>
      </c>
      <c r="C221" s="103"/>
      <c r="D221" s="102"/>
      <c r="E221" s="102"/>
      <c r="F221" s="117"/>
      <c r="G221" s="80"/>
      <c r="H221" s="80"/>
      <c r="J221" s="49"/>
      <c r="K221" s="49"/>
    </row>
    <row r="222" spans="1:248">
      <c r="A222" s="53"/>
      <c r="B222" s="56" t="s">
        <v>361</v>
      </c>
      <c r="C222" s="103"/>
      <c r="D222" s="102"/>
      <c r="E222" s="102"/>
      <c r="F222" s="117"/>
      <c r="G222" s="55">
        <f>-3093</f>
        <v>-3093</v>
      </c>
      <c r="H222" s="80"/>
      <c r="J222" s="49"/>
      <c r="K222" s="49"/>
    </row>
    <row r="223" spans="1:248">
      <c r="A223" s="53" t="s">
        <v>435</v>
      </c>
      <c r="B223" s="51" t="s">
        <v>436</v>
      </c>
      <c r="C223" s="103">
        <f t="shared" ref="C223:H223" si="73">C224+C225</f>
        <v>0</v>
      </c>
      <c r="D223" s="103">
        <f t="shared" si="73"/>
        <v>372000</v>
      </c>
      <c r="E223" s="103">
        <f t="shared" si="73"/>
        <v>322580</v>
      </c>
      <c r="F223" s="103">
        <f t="shared" si="73"/>
        <v>322580</v>
      </c>
      <c r="G223" s="103">
        <f t="shared" si="73"/>
        <v>322570.86</v>
      </c>
      <c r="H223" s="103">
        <f t="shared" si="73"/>
        <v>23960</v>
      </c>
      <c r="J223" s="49"/>
      <c r="K223" s="49"/>
    </row>
    <row r="224" spans="1:248">
      <c r="A224" s="53"/>
      <c r="B224" s="81" t="s">
        <v>368</v>
      </c>
      <c r="C224" s="103"/>
      <c r="D224" s="48">
        <v>372000</v>
      </c>
      <c r="E224" s="48">
        <v>322580</v>
      </c>
      <c r="F224" s="48">
        <v>322580</v>
      </c>
      <c r="G224" s="55">
        <f>298610.86+23960</f>
        <v>322570.86</v>
      </c>
      <c r="H224" s="119">
        <v>23960</v>
      </c>
      <c r="J224" s="49"/>
      <c r="K224" s="49"/>
    </row>
    <row r="225" spans="1:11" ht="75">
      <c r="A225" s="53"/>
      <c r="B225" s="81" t="s">
        <v>370</v>
      </c>
      <c r="C225" s="103"/>
      <c r="D225" s="48"/>
      <c r="E225" s="48"/>
      <c r="F225" s="48"/>
      <c r="G225" s="71"/>
      <c r="H225" s="71"/>
      <c r="J225" s="49"/>
      <c r="K225" s="49"/>
    </row>
    <row r="226" spans="1:11">
      <c r="A226" s="53"/>
      <c r="B226" s="56" t="s">
        <v>361</v>
      </c>
      <c r="C226" s="103"/>
      <c r="D226" s="48"/>
      <c r="E226" s="48"/>
      <c r="F226" s="48"/>
      <c r="G226" s="71"/>
      <c r="H226" s="71"/>
      <c r="J226" s="49"/>
      <c r="K226" s="49"/>
    </row>
    <row r="227" spans="1:11">
      <c r="A227" s="53" t="s">
        <v>437</v>
      </c>
      <c r="B227" s="51" t="s">
        <v>438</v>
      </c>
      <c r="C227" s="102">
        <f>+C228+C247</f>
        <v>0</v>
      </c>
      <c r="D227" s="102">
        <f t="shared" ref="D227:H227" si="74">+D228+D247</f>
        <v>126737580</v>
      </c>
      <c r="E227" s="102">
        <f t="shared" si="74"/>
        <v>123587330</v>
      </c>
      <c r="F227" s="102">
        <f t="shared" si="74"/>
        <v>123587330</v>
      </c>
      <c r="G227" s="102">
        <f t="shared" si="74"/>
        <v>121313186.34000002</v>
      </c>
      <c r="H227" s="102">
        <f t="shared" si="74"/>
        <v>9829409.3399999999</v>
      </c>
      <c r="I227" s="34"/>
      <c r="J227" s="49"/>
      <c r="K227" s="49"/>
    </row>
    <row r="228" spans="1:11">
      <c r="A228" s="53" t="s">
        <v>439</v>
      </c>
      <c r="B228" s="51" t="s">
        <v>440</v>
      </c>
      <c r="C228" s="103">
        <f>C229+C232+C233+C234+C236+C239+C242+C245+C235</f>
        <v>0</v>
      </c>
      <c r="D228" s="103">
        <f t="shared" ref="D228:H228" si="75">D229+D232+D233+D234+D236+D239+D242+D245+D235</f>
        <v>124978910</v>
      </c>
      <c r="E228" s="103">
        <f t="shared" si="75"/>
        <v>122003570</v>
      </c>
      <c r="F228" s="103">
        <f t="shared" si="75"/>
        <v>122003570</v>
      </c>
      <c r="G228" s="103">
        <f t="shared" si="75"/>
        <v>119842414.34000002</v>
      </c>
      <c r="H228" s="103">
        <f t="shared" si="75"/>
        <v>9714105.7400000002</v>
      </c>
      <c r="I228" s="34"/>
      <c r="J228" s="49"/>
      <c r="K228" s="49"/>
    </row>
    <row r="229" spans="1:11">
      <c r="A229" s="53"/>
      <c r="B229" s="54" t="s">
        <v>513</v>
      </c>
      <c r="C229" s="103">
        <f>C230+C231</f>
        <v>0</v>
      </c>
      <c r="D229" s="103">
        <v>116951370</v>
      </c>
      <c r="E229" s="103">
        <v>113450130</v>
      </c>
      <c r="F229" s="103">
        <v>113450130</v>
      </c>
      <c r="G229" s="103">
        <f t="shared" ref="G229:H229" si="76">G230+G231</f>
        <v>111856129.02000003</v>
      </c>
      <c r="H229" s="103">
        <f t="shared" si="76"/>
        <v>9168489.0199999996</v>
      </c>
      <c r="I229" s="34"/>
      <c r="J229" s="49"/>
      <c r="K229" s="49"/>
    </row>
    <row r="230" spans="1:11" s="134" customFormat="1">
      <c r="A230" s="130"/>
      <c r="B230" s="141" t="s">
        <v>514</v>
      </c>
      <c r="C230" s="120"/>
      <c r="D230" s="126"/>
      <c r="E230" s="126"/>
      <c r="F230" s="127"/>
      <c r="G230" s="128">
        <f>73821478.3+5846633.07+12961215.96+8285873.29</f>
        <v>100915200.62000002</v>
      </c>
      <c r="H230" s="129">
        <v>8285873.29</v>
      </c>
      <c r="I230" s="142"/>
      <c r="J230" s="132"/>
      <c r="K230" s="132"/>
    </row>
    <row r="231" spans="1:11">
      <c r="A231" s="53"/>
      <c r="B231" s="108" t="s">
        <v>515</v>
      </c>
      <c r="C231" s="103"/>
      <c r="D231" s="102"/>
      <c r="E231" s="102"/>
      <c r="F231" s="117"/>
      <c r="G231" s="55">
        <f>7874997.15+710651.48+1472664.04+882615.73</f>
        <v>10940928.400000002</v>
      </c>
      <c r="H231" s="80">
        <v>882615.73</v>
      </c>
      <c r="I231" s="34"/>
      <c r="J231" s="49"/>
      <c r="K231" s="49"/>
    </row>
    <row r="232" spans="1:11" ht="75">
      <c r="A232" s="53"/>
      <c r="B232" s="54" t="s">
        <v>370</v>
      </c>
      <c r="C232" s="103"/>
      <c r="D232" s="48">
        <v>91630</v>
      </c>
      <c r="E232" s="48">
        <v>91630</v>
      </c>
      <c r="F232" s="48">
        <v>91630</v>
      </c>
      <c r="G232" s="55">
        <f>77406.6+3951.72</f>
        <v>81358.320000000007</v>
      </c>
      <c r="H232" s="80">
        <v>3951.72</v>
      </c>
      <c r="I232" s="34"/>
      <c r="J232" s="49"/>
      <c r="K232" s="49"/>
    </row>
    <row r="233" spans="1:11" ht="45">
      <c r="A233" s="53"/>
      <c r="B233" s="54" t="s">
        <v>444</v>
      </c>
      <c r="C233" s="103"/>
      <c r="D233" s="102"/>
      <c r="E233" s="102"/>
      <c r="F233" s="117"/>
      <c r="G233" s="80"/>
      <c r="H233" s="80"/>
      <c r="I233" s="34"/>
      <c r="J233" s="49"/>
      <c r="K233" s="49"/>
    </row>
    <row r="234" spans="1:11" ht="30">
      <c r="A234" s="53"/>
      <c r="B234" s="54" t="s">
        <v>445</v>
      </c>
      <c r="C234" s="103"/>
      <c r="D234" s="48">
        <v>5789510</v>
      </c>
      <c r="E234" s="48">
        <v>6315410</v>
      </c>
      <c r="F234" s="48">
        <v>6315410</v>
      </c>
      <c r="G234" s="55">
        <f>5217110+541665</f>
        <v>5758775</v>
      </c>
      <c r="H234" s="80">
        <v>541665</v>
      </c>
      <c r="I234" s="34"/>
      <c r="J234" s="49"/>
      <c r="K234" s="49"/>
    </row>
    <row r="235" spans="1:11">
      <c r="A235" s="53"/>
      <c r="B235" s="54" t="s">
        <v>521</v>
      </c>
      <c r="C235" s="103"/>
      <c r="D235" s="48">
        <v>2146400</v>
      </c>
      <c r="E235" s="48">
        <v>2146400</v>
      </c>
      <c r="F235" s="48">
        <v>2146400</v>
      </c>
      <c r="G235" s="55">
        <v>2146152</v>
      </c>
      <c r="H235" s="80"/>
      <c r="I235" s="34"/>
      <c r="J235" s="49"/>
      <c r="K235" s="49"/>
    </row>
    <row r="236" spans="1:11" ht="60">
      <c r="A236" s="53"/>
      <c r="B236" s="54" t="s">
        <v>441</v>
      </c>
      <c r="C236" s="103">
        <f t="shared" ref="C236:H236" si="77">C237+C238</f>
        <v>0</v>
      </c>
      <c r="D236" s="103">
        <f t="shared" si="77"/>
        <v>0</v>
      </c>
      <c r="E236" s="103">
        <f t="shared" si="77"/>
        <v>0</v>
      </c>
      <c r="F236" s="103">
        <f t="shared" si="77"/>
        <v>0</v>
      </c>
      <c r="G236" s="103">
        <f t="shared" si="77"/>
        <v>0</v>
      </c>
      <c r="H236" s="103">
        <f t="shared" si="77"/>
        <v>0</v>
      </c>
      <c r="I236" s="34"/>
      <c r="J236" s="49"/>
      <c r="K236" s="49"/>
    </row>
    <row r="237" spans="1:11">
      <c r="A237" s="53"/>
      <c r="B237" s="54" t="s">
        <v>372</v>
      </c>
      <c r="C237" s="103"/>
      <c r="D237" s="48"/>
      <c r="E237" s="48"/>
      <c r="F237" s="48"/>
      <c r="G237" s="55"/>
      <c r="H237" s="55"/>
      <c r="I237" s="34"/>
      <c r="J237" s="49"/>
      <c r="K237" s="49"/>
    </row>
    <row r="238" spans="1:11" ht="75">
      <c r="A238" s="53"/>
      <c r="B238" s="54" t="s">
        <v>370</v>
      </c>
      <c r="C238" s="103"/>
      <c r="D238" s="48"/>
      <c r="E238" s="48"/>
      <c r="F238" s="48"/>
      <c r="G238" s="55"/>
      <c r="H238" s="55"/>
      <c r="I238" s="34"/>
      <c r="J238" s="49"/>
      <c r="K238" s="49"/>
    </row>
    <row r="239" spans="1:11" ht="30">
      <c r="B239" s="54" t="s">
        <v>442</v>
      </c>
      <c r="C239" s="103">
        <f>C240+C241</f>
        <v>0</v>
      </c>
      <c r="D239" s="103">
        <f t="shared" ref="D239:H239" si="78">D240+D241</f>
        <v>0</v>
      </c>
      <c r="E239" s="103">
        <f t="shared" si="78"/>
        <v>0</v>
      </c>
      <c r="F239" s="103">
        <f t="shared" si="78"/>
        <v>0</v>
      </c>
      <c r="G239" s="103">
        <f t="shared" si="78"/>
        <v>0</v>
      </c>
      <c r="H239" s="103">
        <f t="shared" si="78"/>
        <v>0</v>
      </c>
      <c r="J239" s="49"/>
      <c r="K239" s="49"/>
    </row>
    <row r="240" spans="1:11">
      <c r="B240" s="54" t="s">
        <v>372</v>
      </c>
      <c r="C240" s="103"/>
      <c r="D240" s="48"/>
      <c r="E240" s="48"/>
      <c r="F240" s="48"/>
      <c r="G240" s="71"/>
      <c r="H240" s="71"/>
      <c r="J240" s="49"/>
      <c r="K240" s="49"/>
    </row>
    <row r="241" spans="1:11" ht="75">
      <c r="B241" s="54" t="s">
        <v>370</v>
      </c>
      <c r="C241" s="103"/>
      <c r="D241" s="48"/>
      <c r="E241" s="48"/>
      <c r="F241" s="48"/>
      <c r="G241" s="71"/>
      <c r="H241" s="71"/>
      <c r="J241" s="49"/>
      <c r="K241" s="49"/>
    </row>
    <row r="242" spans="1:11">
      <c r="B242" s="82" t="s">
        <v>443</v>
      </c>
      <c r="C242" s="103">
        <f t="shared" ref="C242:H242" si="79">C243+C244</f>
        <v>0</v>
      </c>
      <c r="D242" s="103">
        <f t="shared" si="79"/>
        <v>0</v>
      </c>
      <c r="E242" s="103">
        <f t="shared" si="79"/>
        <v>0</v>
      </c>
      <c r="F242" s="103">
        <f t="shared" si="79"/>
        <v>0</v>
      </c>
      <c r="G242" s="103">
        <f t="shared" si="79"/>
        <v>0</v>
      </c>
      <c r="H242" s="103">
        <f t="shared" si="79"/>
        <v>0</v>
      </c>
      <c r="J242" s="49"/>
      <c r="K242" s="49"/>
    </row>
    <row r="243" spans="1:11">
      <c r="B243" s="82" t="s">
        <v>372</v>
      </c>
      <c r="C243" s="103"/>
      <c r="D243" s="48"/>
      <c r="E243" s="48"/>
      <c r="F243" s="48"/>
      <c r="G243" s="55"/>
      <c r="H243" s="55"/>
      <c r="J243" s="49"/>
      <c r="K243" s="49"/>
    </row>
    <row r="244" spans="1:11" ht="75">
      <c r="B244" s="82" t="s">
        <v>370</v>
      </c>
      <c r="C244" s="103"/>
      <c r="D244" s="48"/>
      <c r="E244" s="48"/>
      <c r="F244" s="48"/>
      <c r="G244" s="55"/>
      <c r="H244" s="55"/>
      <c r="J244" s="49"/>
      <c r="K244" s="49"/>
    </row>
    <row r="245" spans="1:11">
      <c r="B245" s="82" t="s">
        <v>510</v>
      </c>
      <c r="C245" s="103"/>
      <c r="D245" s="48"/>
      <c r="E245" s="48"/>
      <c r="F245" s="48"/>
      <c r="G245" s="55"/>
      <c r="H245" s="55"/>
      <c r="J245" s="49"/>
      <c r="K245" s="49"/>
    </row>
    <row r="246" spans="1:11">
      <c r="B246" s="56" t="s">
        <v>361</v>
      </c>
      <c r="C246" s="103"/>
      <c r="D246" s="48"/>
      <c r="E246" s="48"/>
      <c r="F246" s="48"/>
      <c r="G246" s="55">
        <f>-103073.6-1828.79-3607.67</f>
        <v>-108510.06</v>
      </c>
      <c r="H246" s="80">
        <v>-3607.67</v>
      </c>
      <c r="J246" s="49"/>
      <c r="K246" s="49"/>
    </row>
    <row r="247" spans="1:11">
      <c r="A247" s="30" t="s">
        <v>446</v>
      </c>
      <c r="B247" s="51" t="s">
        <v>447</v>
      </c>
      <c r="C247" s="103">
        <f>C248+C249+C250+C251+C252</f>
        <v>0</v>
      </c>
      <c r="D247" s="103">
        <f t="shared" ref="D247:H247" si="80">D248+D249+D250+D251+D252</f>
        <v>1758670</v>
      </c>
      <c r="E247" s="103">
        <f t="shared" si="80"/>
        <v>1583760</v>
      </c>
      <c r="F247" s="103">
        <f t="shared" si="80"/>
        <v>1583760</v>
      </c>
      <c r="G247" s="103">
        <f t="shared" si="80"/>
        <v>1470772</v>
      </c>
      <c r="H247" s="103">
        <f t="shared" si="80"/>
        <v>115303.6</v>
      </c>
      <c r="J247" s="49"/>
      <c r="K247" s="49"/>
    </row>
    <row r="248" spans="1:11">
      <c r="B248" s="54" t="s">
        <v>368</v>
      </c>
      <c r="C248" s="103"/>
      <c r="D248" s="48">
        <v>1395000</v>
      </c>
      <c r="E248" s="48">
        <v>1112940</v>
      </c>
      <c r="F248" s="48">
        <v>1112940</v>
      </c>
      <c r="G248" s="55">
        <f>1028898.4+84041.6</f>
        <v>1112940</v>
      </c>
      <c r="H248" s="80">
        <v>84041.600000000006</v>
      </c>
      <c r="J248" s="49"/>
      <c r="K248" s="49"/>
    </row>
    <row r="249" spans="1:11">
      <c r="B249" s="83" t="s">
        <v>448</v>
      </c>
      <c r="C249" s="103"/>
      <c r="D249" s="102"/>
      <c r="E249" s="102"/>
      <c r="F249" s="117"/>
      <c r="G249" s="80"/>
      <c r="H249" s="80"/>
      <c r="J249" s="49"/>
      <c r="K249" s="49"/>
    </row>
    <row r="250" spans="1:11" ht="75">
      <c r="B250" s="83" t="s">
        <v>370</v>
      </c>
      <c r="C250" s="103"/>
      <c r="D250" s="102"/>
      <c r="E250" s="102"/>
      <c r="F250" s="117"/>
      <c r="G250" s="80"/>
      <c r="H250" s="80"/>
      <c r="J250" s="49"/>
      <c r="K250" s="49"/>
    </row>
    <row r="251" spans="1:11" ht="30">
      <c r="B251" s="83" t="s">
        <v>445</v>
      </c>
      <c r="C251" s="103"/>
      <c r="D251" s="48">
        <v>323870</v>
      </c>
      <c r="E251" s="48">
        <v>431020</v>
      </c>
      <c r="F251" s="48">
        <v>431020</v>
      </c>
      <c r="G251" s="55">
        <f>286770+31262</f>
        <v>318032</v>
      </c>
      <c r="H251" s="80">
        <v>31262</v>
      </c>
      <c r="J251" s="49"/>
      <c r="K251" s="49"/>
    </row>
    <row r="252" spans="1:11">
      <c r="B252" s="83" t="s">
        <v>521</v>
      </c>
      <c r="C252" s="103"/>
      <c r="D252" s="48">
        <v>39800</v>
      </c>
      <c r="E252" s="48">
        <v>39800</v>
      </c>
      <c r="F252" s="48">
        <v>39800</v>
      </c>
      <c r="G252" s="55">
        <v>39800</v>
      </c>
      <c r="H252" s="80"/>
      <c r="J252" s="49"/>
      <c r="K252" s="49"/>
    </row>
    <row r="253" spans="1:11">
      <c r="B253" s="56" t="s">
        <v>361</v>
      </c>
      <c r="C253" s="103"/>
      <c r="D253" s="102"/>
      <c r="E253" s="102"/>
      <c r="F253" s="117"/>
      <c r="G253" s="80"/>
      <c r="H253" s="80"/>
      <c r="J253" s="49"/>
      <c r="K253" s="49"/>
    </row>
    <row r="254" spans="1:11">
      <c r="A254" s="30" t="s">
        <v>449</v>
      </c>
      <c r="B254" s="56" t="s">
        <v>450</v>
      </c>
      <c r="C254" s="103"/>
      <c r="D254" s="48">
        <v>1690810</v>
      </c>
      <c r="E254" s="48">
        <v>1327870</v>
      </c>
      <c r="F254" s="48">
        <v>1327870</v>
      </c>
      <c r="G254" s="55">
        <f>1161720+166150</f>
        <v>1327870</v>
      </c>
      <c r="H254" s="80">
        <v>166150</v>
      </c>
      <c r="J254" s="49"/>
      <c r="K254" s="49"/>
    </row>
    <row r="255" spans="1:11">
      <c r="B255" s="56" t="s">
        <v>361</v>
      </c>
      <c r="C255" s="103"/>
      <c r="D255" s="48"/>
      <c r="E255" s="48"/>
      <c r="F255" s="48"/>
      <c r="G255" s="55">
        <f>-2965</f>
        <v>-2965</v>
      </c>
      <c r="H255" s="80"/>
      <c r="J255" s="49"/>
      <c r="K255" s="49"/>
    </row>
    <row r="256" spans="1:11">
      <c r="A256" s="30" t="s">
        <v>451</v>
      </c>
      <c r="B256" s="56" t="s">
        <v>452</v>
      </c>
      <c r="C256" s="103"/>
      <c r="D256" s="48">
        <v>3068220</v>
      </c>
      <c r="E256" s="48">
        <v>1489580</v>
      </c>
      <c r="F256" s="48">
        <v>1489580</v>
      </c>
      <c r="G256" s="80">
        <v>1489570.95</v>
      </c>
      <c r="H256" s="80"/>
      <c r="J256" s="49"/>
      <c r="K256" s="49"/>
    </row>
    <row r="257" spans="1:11">
      <c r="B257" s="56" t="s">
        <v>361</v>
      </c>
      <c r="C257" s="103"/>
      <c r="D257" s="102"/>
      <c r="E257" s="102"/>
      <c r="F257" s="117"/>
      <c r="G257" s="80">
        <f>-56701.11-4838.66-7772.46-1119.49</f>
        <v>-70431.720000000016</v>
      </c>
      <c r="H257" s="80">
        <v>-1119.49</v>
      </c>
      <c r="J257" s="49"/>
      <c r="K257" s="49"/>
    </row>
    <row r="258" spans="1:11" ht="30">
      <c r="B258" s="51" t="s">
        <v>453</v>
      </c>
      <c r="C258" s="103">
        <f>C87+C106+C143+C175+C179+C183+C195+C200+C205+C217+C222+C226+C246+C253+C255+C257</f>
        <v>0</v>
      </c>
      <c r="D258" s="103">
        <f t="shared" ref="D258:H258" si="81">D87+D106+D143+D175+D179+D183+D195+D200+D205+D217+D222+D226+D246+D253+D255+D257</f>
        <v>0</v>
      </c>
      <c r="E258" s="103">
        <f t="shared" si="81"/>
        <v>0</v>
      </c>
      <c r="F258" s="103">
        <f t="shared" si="81"/>
        <v>0</v>
      </c>
      <c r="G258" s="103">
        <f t="shared" si="81"/>
        <v>-311482.84000000003</v>
      </c>
      <c r="H258" s="103">
        <f t="shared" si="81"/>
        <v>-4727.16</v>
      </c>
      <c r="J258" s="49"/>
      <c r="K258" s="49"/>
    </row>
    <row r="259" spans="1:11" ht="30">
      <c r="A259" s="30" t="s">
        <v>224</v>
      </c>
      <c r="B259" s="51" t="s">
        <v>225</v>
      </c>
      <c r="C259" s="103">
        <f t="shared" ref="C259:H260" si="82">C260</f>
        <v>0</v>
      </c>
      <c r="D259" s="103">
        <f t="shared" si="82"/>
        <v>130436480</v>
      </c>
      <c r="E259" s="103">
        <f t="shared" si="82"/>
        <v>130436480</v>
      </c>
      <c r="F259" s="103">
        <f t="shared" si="82"/>
        <v>130436480</v>
      </c>
      <c r="G259" s="103">
        <f t="shared" si="82"/>
        <v>130431547</v>
      </c>
      <c r="H259" s="103">
        <f t="shared" si="82"/>
        <v>12555310</v>
      </c>
      <c r="J259" s="49"/>
      <c r="K259" s="49"/>
    </row>
    <row r="260" spans="1:11">
      <c r="A260" s="30" t="s">
        <v>454</v>
      </c>
      <c r="B260" s="51" t="s">
        <v>455</v>
      </c>
      <c r="C260" s="103">
        <f>C261</f>
        <v>0</v>
      </c>
      <c r="D260" s="103">
        <f t="shared" si="82"/>
        <v>130436480</v>
      </c>
      <c r="E260" s="103">
        <f t="shared" si="82"/>
        <v>130436480</v>
      </c>
      <c r="F260" s="103">
        <f t="shared" si="82"/>
        <v>130436480</v>
      </c>
      <c r="G260" s="103">
        <f t="shared" si="82"/>
        <v>130431547</v>
      </c>
      <c r="H260" s="103">
        <f t="shared" si="82"/>
        <v>12555310</v>
      </c>
      <c r="J260" s="49"/>
      <c r="K260" s="49"/>
    </row>
    <row r="261" spans="1:11" ht="45">
      <c r="A261" s="30" t="s">
        <v>456</v>
      </c>
      <c r="B261" s="51" t="s">
        <v>457</v>
      </c>
      <c r="C261" s="103">
        <f>C262+C263+C264+C265+C269+C270</f>
        <v>0</v>
      </c>
      <c r="D261" s="103">
        <f t="shared" ref="D261:H261" si="83">D262+D263+D264+D265+D269+D270</f>
        <v>130436480</v>
      </c>
      <c r="E261" s="103">
        <f t="shared" si="83"/>
        <v>130436480</v>
      </c>
      <c r="F261" s="103">
        <f t="shared" si="83"/>
        <v>130436480</v>
      </c>
      <c r="G261" s="103">
        <f t="shared" si="83"/>
        <v>130431547</v>
      </c>
      <c r="H261" s="103">
        <f t="shared" si="83"/>
        <v>12555310</v>
      </c>
      <c r="J261" s="49"/>
      <c r="K261" s="49"/>
    </row>
    <row r="262" spans="1:11" ht="45">
      <c r="B262" s="56" t="s">
        <v>458</v>
      </c>
      <c r="C262" s="103"/>
      <c r="D262" s="48">
        <v>106231000</v>
      </c>
      <c r="E262" s="48">
        <v>106231000</v>
      </c>
      <c r="F262" s="48">
        <v>106231000</v>
      </c>
      <c r="G262" s="48">
        <f>96537016+9693580</f>
        <v>106230596</v>
      </c>
      <c r="H262" s="103">
        <v>9693580</v>
      </c>
      <c r="J262" s="49"/>
      <c r="K262" s="49"/>
    </row>
    <row r="263" spans="1:11" ht="45">
      <c r="B263" s="56" t="s">
        <v>459</v>
      </c>
      <c r="C263" s="103"/>
      <c r="D263" s="48">
        <v>785000</v>
      </c>
      <c r="E263" s="48">
        <v>785000</v>
      </c>
      <c r="F263" s="48">
        <v>785000</v>
      </c>
      <c r="G263" s="48">
        <f>700254+84720</f>
        <v>784974</v>
      </c>
      <c r="H263" s="103">
        <v>84720</v>
      </c>
      <c r="J263" s="49"/>
      <c r="K263" s="49"/>
    </row>
    <row r="264" spans="1:11" ht="45">
      <c r="B264" s="56" t="s">
        <v>460</v>
      </c>
      <c r="C264" s="103"/>
      <c r="D264" s="48">
        <v>391000</v>
      </c>
      <c r="E264" s="48">
        <v>391000</v>
      </c>
      <c r="F264" s="48">
        <v>391000</v>
      </c>
      <c r="G264" s="48">
        <f>351752+38480</f>
        <v>390232</v>
      </c>
      <c r="H264" s="103">
        <v>38480</v>
      </c>
      <c r="J264" s="49"/>
      <c r="K264" s="49"/>
    </row>
    <row r="265" spans="1:11" ht="45">
      <c r="B265" s="56" t="s">
        <v>461</v>
      </c>
      <c r="C265" s="103">
        <f t="shared" ref="C265:H265" si="84">C266+C267+C268</f>
        <v>0</v>
      </c>
      <c r="D265" s="103">
        <f t="shared" si="84"/>
        <v>14677000</v>
      </c>
      <c r="E265" s="103">
        <f t="shared" si="84"/>
        <v>14677000</v>
      </c>
      <c r="F265" s="103">
        <f t="shared" si="84"/>
        <v>14677000</v>
      </c>
      <c r="G265" s="103">
        <f t="shared" si="84"/>
        <v>14675455</v>
      </c>
      <c r="H265" s="103">
        <f t="shared" si="84"/>
        <v>1321040</v>
      </c>
      <c r="J265" s="49"/>
      <c r="K265" s="49"/>
    </row>
    <row r="266" spans="1:11" ht="105">
      <c r="B266" s="56" t="s">
        <v>462</v>
      </c>
      <c r="C266" s="103"/>
      <c r="D266" s="48">
        <v>5047000</v>
      </c>
      <c r="E266" s="48">
        <v>5047000</v>
      </c>
      <c r="F266" s="48">
        <v>5047000</v>
      </c>
      <c r="G266" s="124">
        <f>4570190+476010</f>
        <v>5046200</v>
      </c>
      <c r="H266" s="103">
        <v>476010</v>
      </c>
      <c r="J266" s="49"/>
      <c r="K266" s="49"/>
    </row>
    <row r="267" spans="1:11" ht="90">
      <c r="B267" s="56" t="s">
        <v>463</v>
      </c>
      <c r="C267" s="103"/>
      <c r="D267" s="48">
        <v>5129000</v>
      </c>
      <c r="E267" s="48">
        <v>5129000</v>
      </c>
      <c r="F267" s="48">
        <v>5129000</v>
      </c>
      <c r="G267" s="124">
        <f>4678155+450150</f>
        <v>5128305</v>
      </c>
      <c r="H267" s="103">
        <v>450150</v>
      </c>
      <c r="J267" s="49"/>
      <c r="K267" s="49"/>
    </row>
    <row r="268" spans="1:11" ht="75">
      <c r="B268" s="56" t="s">
        <v>464</v>
      </c>
      <c r="C268" s="103"/>
      <c r="D268" s="48">
        <v>4501000</v>
      </c>
      <c r="E268" s="48">
        <v>4501000</v>
      </c>
      <c r="F268" s="48">
        <v>4501000</v>
      </c>
      <c r="G268" s="124">
        <f>4106070+394880</f>
        <v>4500950</v>
      </c>
      <c r="H268" s="103">
        <v>394880</v>
      </c>
      <c r="J268" s="49"/>
      <c r="K268" s="49"/>
    </row>
    <row r="269" spans="1:11" ht="150">
      <c r="B269" s="56" t="s">
        <v>517</v>
      </c>
      <c r="C269" s="103"/>
      <c r="D269" s="48">
        <v>5843480</v>
      </c>
      <c r="E269" s="48">
        <v>5843480</v>
      </c>
      <c r="F269" s="48">
        <v>5843480</v>
      </c>
      <c r="G269" s="48">
        <f>5264680+578640</f>
        <v>5843320</v>
      </c>
      <c r="H269" s="103">
        <v>578640</v>
      </c>
      <c r="J269" s="49"/>
      <c r="K269" s="49"/>
    </row>
    <row r="270" spans="1:11" ht="45">
      <c r="B270" s="115" t="s">
        <v>524</v>
      </c>
      <c r="C270" s="103">
        <f>C271+C272+C273+C274+C275</f>
        <v>0</v>
      </c>
      <c r="D270" s="103">
        <f t="shared" ref="D270:H270" si="85">D271+D272+D273+D274+D275</f>
        <v>2509000</v>
      </c>
      <c r="E270" s="103">
        <f t="shared" si="85"/>
        <v>2509000</v>
      </c>
      <c r="F270" s="103">
        <f t="shared" si="85"/>
        <v>2509000</v>
      </c>
      <c r="G270" s="103">
        <f t="shared" si="85"/>
        <v>2506970</v>
      </c>
      <c r="H270" s="103">
        <f t="shared" si="85"/>
        <v>838850</v>
      </c>
      <c r="J270" s="49"/>
      <c r="K270" s="49"/>
    </row>
    <row r="271" spans="1:11" ht="60">
      <c r="B271" s="56" t="s">
        <v>525</v>
      </c>
      <c r="C271" s="103"/>
      <c r="D271" s="48">
        <v>365000</v>
      </c>
      <c r="E271" s="48">
        <v>365000</v>
      </c>
      <c r="F271" s="48">
        <v>365000</v>
      </c>
      <c r="G271" s="48">
        <f>242860+121500</f>
        <v>364360</v>
      </c>
      <c r="H271" s="103">
        <v>121500</v>
      </c>
      <c r="J271" s="49"/>
      <c r="K271" s="49"/>
    </row>
    <row r="272" spans="1:11" ht="45">
      <c r="B272" s="56" t="s">
        <v>526</v>
      </c>
      <c r="C272" s="103"/>
      <c r="D272" s="48">
        <v>6000</v>
      </c>
      <c r="E272" s="48">
        <v>6000</v>
      </c>
      <c r="F272" s="48">
        <v>6000</v>
      </c>
      <c r="G272" s="48">
        <f>3000+3000</f>
        <v>6000</v>
      </c>
      <c r="H272" s="103">
        <v>3000</v>
      </c>
      <c r="J272" s="49"/>
      <c r="K272" s="49"/>
    </row>
    <row r="273" spans="1:11" ht="60">
      <c r="B273" s="56" t="s">
        <v>527</v>
      </c>
      <c r="C273" s="103"/>
      <c r="D273" s="48">
        <v>9000</v>
      </c>
      <c r="E273" s="48">
        <v>9000</v>
      </c>
      <c r="F273" s="48">
        <v>9000</v>
      </c>
      <c r="G273" s="48">
        <f>6000+3000</f>
        <v>9000</v>
      </c>
      <c r="H273" s="103">
        <v>3000</v>
      </c>
      <c r="J273" s="49"/>
      <c r="K273" s="49"/>
    </row>
    <row r="274" spans="1:11" ht="150">
      <c r="B274" s="56" t="s">
        <v>528</v>
      </c>
      <c r="C274" s="103"/>
      <c r="D274" s="48">
        <v>1319000</v>
      </c>
      <c r="E274" s="48">
        <v>1319000</v>
      </c>
      <c r="F274" s="48">
        <v>1319000</v>
      </c>
      <c r="G274" s="48">
        <f>880430+437750</f>
        <v>1318180</v>
      </c>
      <c r="H274" s="103">
        <v>437750</v>
      </c>
      <c r="J274" s="49"/>
      <c r="K274" s="49"/>
    </row>
    <row r="275" spans="1:11" ht="90">
      <c r="B275" s="56" t="s">
        <v>529</v>
      </c>
      <c r="C275" s="103"/>
      <c r="D275" s="48">
        <v>810000</v>
      </c>
      <c r="E275" s="48">
        <v>810000</v>
      </c>
      <c r="F275" s="48">
        <v>810000</v>
      </c>
      <c r="G275" s="48">
        <f>535830+273600</f>
        <v>809430</v>
      </c>
      <c r="H275" s="103">
        <v>273600</v>
      </c>
      <c r="J275" s="49"/>
      <c r="K275" s="49"/>
    </row>
    <row r="276" spans="1:11">
      <c r="A276" s="30" t="s">
        <v>465</v>
      </c>
      <c r="B276" s="84" t="s">
        <v>466</v>
      </c>
      <c r="C276" s="106">
        <f>+C277</f>
        <v>0</v>
      </c>
      <c r="D276" s="106">
        <f t="shared" ref="D276:H278" si="86">+D277</f>
        <v>30419850</v>
      </c>
      <c r="E276" s="106">
        <f t="shared" si="86"/>
        <v>30419850</v>
      </c>
      <c r="F276" s="106">
        <f t="shared" si="86"/>
        <v>30419850</v>
      </c>
      <c r="G276" s="106">
        <f t="shared" si="86"/>
        <v>30419735</v>
      </c>
      <c r="H276" s="106">
        <f t="shared" si="86"/>
        <v>394626</v>
      </c>
      <c r="I276" s="34"/>
      <c r="J276" s="49"/>
      <c r="K276" s="49"/>
    </row>
    <row r="277" spans="1:11">
      <c r="A277" s="30" t="s">
        <v>467</v>
      </c>
      <c r="B277" s="84" t="s">
        <v>217</v>
      </c>
      <c r="C277" s="106">
        <f>+C278</f>
        <v>0</v>
      </c>
      <c r="D277" s="106">
        <f t="shared" si="86"/>
        <v>30419850</v>
      </c>
      <c r="E277" s="106">
        <f t="shared" si="86"/>
        <v>30419850</v>
      </c>
      <c r="F277" s="106">
        <f t="shared" si="86"/>
        <v>30419850</v>
      </c>
      <c r="G277" s="106">
        <f t="shared" si="86"/>
        <v>30419735</v>
      </c>
      <c r="H277" s="106">
        <f t="shared" si="86"/>
        <v>394626</v>
      </c>
      <c r="I277" s="34"/>
      <c r="J277" s="49"/>
      <c r="K277" s="49"/>
    </row>
    <row r="278" spans="1:11">
      <c r="A278" s="30" t="s">
        <v>468</v>
      </c>
      <c r="B278" s="51" t="s">
        <v>469</v>
      </c>
      <c r="C278" s="106">
        <f>+C279</f>
        <v>0</v>
      </c>
      <c r="D278" s="106">
        <f t="shared" si="86"/>
        <v>30419850</v>
      </c>
      <c r="E278" s="106">
        <f t="shared" si="86"/>
        <v>30419850</v>
      </c>
      <c r="F278" s="106">
        <f t="shared" si="86"/>
        <v>30419850</v>
      </c>
      <c r="G278" s="106">
        <f t="shared" si="86"/>
        <v>30419735</v>
      </c>
      <c r="H278" s="106">
        <f t="shared" si="86"/>
        <v>394626</v>
      </c>
      <c r="I278" s="34"/>
      <c r="J278" s="49"/>
      <c r="K278" s="49"/>
    </row>
    <row r="279" spans="1:11">
      <c r="A279" s="30" t="s">
        <v>470</v>
      </c>
      <c r="B279" s="84" t="s">
        <v>471</v>
      </c>
      <c r="C279" s="102">
        <f t="shared" ref="C279:H279" si="87">C280</f>
        <v>0</v>
      </c>
      <c r="D279" s="102">
        <f t="shared" si="87"/>
        <v>30419850</v>
      </c>
      <c r="E279" s="102">
        <f t="shared" si="87"/>
        <v>30419850</v>
      </c>
      <c r="F279" s="102">
        <f t="shared" si="87"/>
        <v>30419850</v>
      </c>
      <c r="G279" s="102">
        <f t="shared" si="87"/>
        <v>30419735</v>
      </c>
      <c r="H279" s="102">
        <f t="shared" si="87"/>
        <v>394626</v>
      </c>
      <c r="I279" s="34"/>
      <c r="J279" s="49"/>
      <c r="K279" s="49"/>
    </row>
    <row r="280" spans="1:11">
      <c r="A280" s="30" t="s">
        <v>472</v>
      </c>
      <c r="B280" s="84" t="s">
        <v>473</v>
      </c>
      <c r="C280" s="102">
        <f t="shared" ref="C280:H280" si="88">C282+C284+C286</f>
        <v>0</v>
      </c>
      <c r="D280" s="102">
        <f t="shared" si="88"/>
        <v>30419850</v>
      </c>
      <c r="E280" s="102">
        <f t="shared" si="88"/>
        <v>30419850</v>
      </c>
      <c r="F280" s="102">
        <f t="shared" si="88"/>
        <v>30419850</v>
      </c>
      <c r="G280" s="102">
        <f t="shared" si="88"/>
        <v>30419735</v>
      </c>
      <c r="H280" s="102">
        <f t="shared" si="88"/>
        <v>394626</v>
      </c>
      <c r="I280" s="34"/>
      <c r="J280" s="49"/>
      <c r="K280" s="49"/>
    </row>
    <row r="281" spans="1:11">
      <c r="A281" s="30" t="s">
        <v>474</v>
      </c>
      <c r="B281" s="84" t="s">
        <v>475</v>
      </c>
      <c r="C281" s="102">
        <f t="shared" ref="C281:H281" si="89">C282</f>
        <v>0</v>
      </c>
      <c r="D281" s="102">
        <f t="shared" si="89"/>
        <v>17650140</v>
      </c>
      <c r="E281" s="102">
        <f t="shared" si="89"/>
        <v>17650140</v>
      </c>
      <c r="F281" s="102">
        <f t="shared" si="89"/>
        <v>17650140</v>
      </c>
      <c r="G281" s="102">
        <f t="shared" si="89"/>
        <v>17650116</v>
      </c>
      <c r="H281" s="102">
        <f t="shared" si="89"/>
        <v>205887</v>
      </c>
      <c r="J281" s="49"/>
      <c r="K281" s="49"/>
    </row>
    <row r="282" spans="1:11">
      <c r="A282" s="30" t="s">
        <v>476</v>
      </c>
      <c r="B282" s="85" t="s">
        <v>518</v>
      </c>
      <c r="C282" s="103"/>
      <c r="D282" s="48">
        <v>17650140</v>
      </c>
      <c r="E282" s="48">
        <v>17650140</v>
      </c>
      <c r="F282" s="48">
        <v>17650140</v>
      </c>
      <c r="G282" s="123">
        <f>15865254+1336474+242495+6+205383+504</f>
        <v>17650116</v>
      </c>
      <c r="H282" s="123">
        <f>205383+504</f>
        <v>205887</v>
      </c>
      <c r="J282" s="49"/>
      <c r="K282" s="49"/>
    </row>
    <row r="283" spans="1:11" s="112" customFormat="1">
      <c r="A283" s="113"/>
      <c r="B283" s="114" t="s">
        <v>519</v>
      </c>
      <c r="C283" s="110"/>
      <c r="D283" s="121"/>
      <c r="E283" s="121"/>
      <c r="F283" s="122"/>
      <c r="G283" s="125">
        <f>101114+14708+12891+15168</f>
        <v>143881</v>
      </c>
      <c r="H283" s="125">
        <v>15168</v>
      </c>
      <c r="J283" s="111"/>
      <c r="K283" s="111"/>
    </row>
    <row r="284" spans="1:11" ht="15.75" customHeight="1">
      <c r="A284" s="30" t="s">
        <v>477</v>
      </c>
      <c r="B284" s="85" t="s">
        <v>520</v>
      </c>
      <c r="C284" s="103"/>
      <c r="D284" s="48">
        <v>12769710</v>
      </c>
      <c r="E284" s="48">
        <v>12769710</v>
      </c>
      <c r="F284" s="48">
        <v>12769710</v>
      </c>
      <c r="G284" s="123">
        <f>12580880+188739</f>
        <v>12769619</v>
      </c>
      <c r="H284" s="123">
        <v>188739</v>
      </c>
      <c r="J284" s="49"/>
      <c r="K284" s="49"/>
    </row>
    <row r="285" spans="1:11" s="112" customFormat="1">
      <c r="A285" s="113"/>
      <c r="B285" s="114" t="s">
        <v>519</v>
      </c>
      <c r="C285" s="110"/>
      <c r="D285" s="121"/>
      <c r="E285" s="121"/>
      <c r="F285" s="122"/>
      <c r="G285" s="125">
        <f>379031+25650+42987+48218</f>
        <v>495886</v>
      </c>
      <c r="H285" s="125">
        <v>48218</v>
      </c>
      <c r="J285" s="111"/>
      <c r="K285" s="111"/>
    </row>
    <row r="286" spans="1:11" ht="30">
      <c r="B286" s="60" t="s">
        <v>478</v>
      </c>
      <c r="C286" s="103"/>
      <c r="D286" s="48"/>
      <c r="E286" s="48"/>
      <c r="F286" s="48"/>
      <c r="G286" s="55"/>
      <c r="H286" s="55"/>
      <c r="J286" s="49"/>
      <c r="K286" s="49"/>
    </row>
    <row r="287" spans="1:11" ht="45">
      <c r="A287" s="30" t="s">
        <v>228</v>
      </c>
      <c r="B287" s="86" t="s">
        <v>229</v>
      </c>
      <c r="C287" s="107">
        <f>C292+C288</f>
        <v>0</v>
      </c>
      <c r="D287" s="107">
        <f t="shared" ref="D287:H287" si="90">D292+D288</f>
        <v>0</v>
      </c>
      <c r="E287" s="107">
        <f t="shared" si="90"/>
        <v>0</v>
      </c>
      <c r="F287" s="107">
        <f t="shared" si="90"/>
        <v>0</v>
      </c>
      <c r="G287" s="107">
        <f t="shared" si="90"/>
        <v>0</v>
      </c>
      <c r="H287" s="107">
        <f t="shared" si="90"/>
        <v>0</v>
      </c>
    </row>
    <row r="288" spans="1:11">
      <c r="A288" s="30" t="s">
        <v>479</v>
      </c>
      <c r="B288" s="86" t="s">
        <v>480</v>
      </c>
      <c r="C288" s="107">
        <f>C289+C290+C291</f>
        <v>0</v>
      </c>
      <c r="D288" s="107">
        <f t="shared" ref="D288:H288" si="91">D289+D290+D291</f>
        <v>0</v>
      </c>
      <c r="E288" s="107">
        <f t="shared" si="91"/>
        <v>0</v>
      </c>
      <c r="F288" s="107">
        <f t="shared" si="91"/>
        <v>0</v>
      </c>
      <c r="G288" s="107">
        <f t="shared" si="91"/>
        <v>0</v>
      </c>
      <c r="H288" s="107">
        <f t="shared" si="91"/>
        <v>0</v>
      </c>
    </row>
    <row r="289" spans="1:8">
      <c r="A289" s="30" t="s">
        <v>481</v>
      </c>
      <c r="B289" s="86" t="s">
        <v>482</v>
      </c>
      <c r="C289" s="107"/>
      <c r="D289" s="48"/>
      <c r="E289" s="48"/>
      <c r="F289" s="48"/>
      <c r="G289" s="61"/>
      <c r="H289" s="61"/>
    </row>
    <row r="290" spans="1:8">
      <c r="A290" s="30" t="s">
        <v>483</v>
      </c>
      <c r="B290" s="86" t="s">
        <v>484</v>
      </c>
      <c r="C290" s="107"/>
      <c r="D290" s="48"/>
      <c r="E290" s="48"/>
      <c r="F290" s="48"/>
      <c r="G290" s="61"/>
      <c r="H290" s="61"/>
    </row>
    <row r="291" spans="1:8">
      <c r="A291" s="30" t="s">
        <v>485</v>
      </c>
      <c r="B291" s="86" t="s">
        <v>486</v>
      </c>
      <c r="C291" s="107"/>
      <c r="D291" s="48"/>
      <c r="E291" s="48"/>
      <c r="F291" s="48"/>
      <c r="G291" s="61"/>
      <c r="H291" s="61"/>
    </row>
    <row r="292" spans="1:8">
      <c r="A292" s="30" t="s">
        <v>487</v>
      </c>
      <c r="B292" s="86" t="s">
        <v>516</v>
      </c>
      <c r="C292" s="107">
        <f>C293+C294+C295</f>
        <v>0</v>
      </c>
      <c r="D292" s="107">
        <f t="shared" ref="D292:H292" si="92">D293+D294+D295</f>
        <v>0</v>
      </c>
      <c r="E292" s="107">
        <f t="shared" si="92"/>
        <v>0</v>
      </c>
      <c r="F292" s="107">
        <f t="shared" si="92"/>
        <v>0</v>
      </c>
      <c r="G292" s="107">
        <f t="shared" si="92"/>
        <v>0</v>
      </c>
      <c r="H292" s="107">
        <f t="shared" si="92"/>
        <v>0</v>
      </c>
    </row>
    <row r="293" spans="1:8">
      <c r="A293" s="30" t="s">
        <v>488</v>
      </c>
      <c r="B293" s="87" t="s">
        <v>489</v>
      </c>
      <c r="C293" s="80"/>
      <c r="D293" s="48"/>
      <c r="E293" s="48"/>
      <c r="F293" s="48"/>
      <c r="G293" s="55"/>
      <c r="H293" s="55"/>
    </row>
    <row r="294" spans="1:8">
      <c r="A294" s="30" t="s">
        <v>490</v>
      </c>
      <c r="B294" s="87" t="s">
        <v>491</v>
      </c>
      <c r="C294" s="80"/>
      <c r="D294" s="48"/>
      <c r="E294" s="48"/>
      <c r="F294" s="48"/>
      <c r="G294" s="55"/>
      <c r="H294" s="55"/>
    </row>
    <row r="295" spans="1:8">
      <c r="A295" s="30" t="s">
        <v>492</v>
      </c>
      <c r="B295" s="87" t="s">
        <v>486</v>
      </c>
      <c r="C295" s="80"/>
      <c r="D295" s="48"/>
      <c r="E295" s="48"/>
      <c r="F295" s="48"/>
      <c r="G295" s="55"/>
      <c r="H295" s="55"/>
    </row>
    <row r="296" spans="1:8">
      <c r="A296" s="30" t="s">
        <v>493</v>
      </c>
      <c r="B296" s="86" t="s">
        <v>494</v>
      </c>
      <c r="C296" s="107">
        <f>C297</f>
        <v>0</v>
      </c>
      <c r="D296" s="107">
        <f t="shared" ref="D296:H297" si="93">D297</f>
        <v>0</v>
      </c>
      <c r="E296" s="107">
        <f t="shared" si="93"/>
        <v>0</v>
      </c>
      <c r="F296" s="107">
        <f t="shared" si="93"/>
        <v>0</v>
      </c>
      <c r="G296" s="107">
        <f t="shared" si="93"/>
        <v>0</v>
      </c>
      <c r="H296" s="107">
        <f t="shared" si="93"/>
        <v>0</v>
      </c>
    </row>
    <row r="297" spans="1:8">
      <c r="A297" s="30" t="s">
        <v>495</v>
      </c>
      <c r="B297" s="86" t="s">
        <v>217</v>
      </c>
      <c r="C297" s="107">
        <f>C298</f>
        <v>0</v>
      </c>
      <c r="D297" s="107">
        <f t="shared" si="93"/>
        <v>0</v>
      </c>
      <c r="E297" s="107">
        <f t="shared" si="93"/>
        <v>0</v>
      </c>
      <c r="F297" s="107">
        <f t="shared" si="93"/>
        <v>0</v>
      </c>
      <c r="G297" s="107">
        <f t="shared" si="93"/>
        <v>0</v>
      </c>
      <c r="H297" s="107">
        <f t="shared" si="93"/>
        <v>0</v>
      </c>
    </row>
    <row r="298" spans="1:8" ht="45">
      <c r="A298" s="30" t="s">
        <v>496</v>
      </c>
      <c r="B298" s="86" t="s">
        <v>229</v>
      </c>
      <c r="C298" s="107">
        <f>C301</f>
        <v>0</v>
      </c>
      <c r="D298" s="107">
        <f t="shared" ref="D298:H298" si="94">D301</f>
        <v>0</v>
      </c>
      <c r="E298" s="107">
        <f t="shared" si="94"/>
        <v>0</v>
      </c>
      <c r="F298" s="107">
        <f t="shared" si="94"/>
        <v>0</v>
      </c>
      <c r="G298" s="107">
        <f t="shared" si="94"/>
        <v>0</v>
      </c>
      <c r="H298" s="107">
        <f t="shared" si="94"/>
        <v>0</v>
      </c>
    </row>
    <row r="299" spans="1:8">
      <c r="A299" s="30" t="s">
        <v>497</v>
      </c>
      <c r="B299" s="86" t="s">
        <v>242</v>
      </c>
      <c r="C299" s="107">
        <f t="shared" ref="C299:H304" si="95">C300</f>
        <v>0</v>
      </c>
      <c r="D299" s="107">
        <f t="shared" si="95"/>
        <v>0</v>
      </c>
      <c r="E299" s="107">
        <f t="shared" si="95"/>
        <v>0</v>
      </c>
      <c r="F299" s="107">
        <f t="shared" si="95"/>
        <v>0</v>
      </c>
      <c r="G299" s="107">
        <f t="shared" si="95"/>
        <v>0</v>
      </c>
      <c r="H299" s="107">
        <f t="shared" si="95"/>
        <v>0</v>
      </c>
    </row>
    <row r="300" spans="1:8">
      <c r="A300" s="30" t="s">
        <v>498</v>
      </c>
      <c r="B300" s="86" t="s">
        <v>217</v>
      </c>
      <c r="C300" s="107">
        <f t="shared" si="95"/>
        <v>0</v>
      </c>
      <c r="D300" s="107">
        <f t="shared" si="95"/>
        <v>0</v>
      </c>
      <c r="E300" s="107">
        <f t="shared" si="95"/>
        <v>0</v>
      </c>
      <c r="F300" s="107">
        <f t="shared" si="95"/>
        <v>0</v>
      </c>
      <c r="G300" s="107">
        <f t="shared" si="95"/>
        <v>0</v>
      </c>
      <c r="H300" s="107">
        <f t="shared" si="95"/>
        <v>0</v>
      </c>
    </row>
    <row r="301" spans="1:8" ht="45">
      <c r="A301" s="30" t="s">
        <v>499</v>
      </c>
      <c r="B301" s="87" t="s">
        <v>229</v>
      </c>
      <c r="C301" s="107">
        <f t="shared" si="95"/>
        <v>0</v>
      </c>
      <c r="D301" s="107">
        <f t="shared" si="95"/>
        <v>0</v>
      </c>
      <c r="E301" s="107">
        <f t="shared" si="95"/>
        <v>0</v>
      </c>
      <c r="F301" s="107">
        <f t="shared" si="95"/>
        <v>0</v>
      </c>
      <c r="G301" s="107">
        <f t="shared" si="95"/>
        <v>0</v>
      </c>
      <c r="H301" s="107">
        <f t="shared" si="95"/>
        <v>0</v>
      </c>
    </row>
    <row r="302" spans="1:8">
      <c r="A302" s="30" t="s">
        <v>500</v>
      </c>
      <c r="B302" s="86" t="s">
        <v>516</v>
      </c>
      <c r="C302" s="107">
        <f t="shared" si="95"/>
        <v>0</v>
      </c>
      <c r="D302" s="107">
        <f t="shared" si="95"/>
        <v>0</v>
      </c>
      <c r="E302" s="107">
        <f t="shared" si="95"/>
        <v>0</v>
      </c>
      <c r="F302" s="107">
        <f t="shared" si="95"/>
        <v>0</v>
      </c>
      <c r="G302" s="107">
        <f t="shared" si="95"/>
        <v>0</v>
      </c>
      <c r="H302" s="107">
        <f t="shared" si="95"/>
        <v>0</v>
      </c>
    </row>
    <row r="303" spans="1:8">
      <c r="A303" s="30" t="s">
        <v>501</v>
      </c>
      <c r="B303" s="86" t="s">
        <v>491</v>
      </c>
      <c r="C303" s="107">
        <f t="shared" si="95"/>
        <v>0</v>
      </c>
      <c r="D303" s="107">
        <f t="shared" si="95"/>
        <v>0</v>
      </c>
      <c r="E303" s="107">
        <f t="shared" si="95"/>
        <v>0</v>
      </c>
      <c r="F303" s="107">
        <f t="shared" si="95"/>
        <v>0</v>
      </c>
      <c r="G303" s="107">
        <f t="shared" si="95"/>
        <v>0</v>
      </c>
      <c r="H303" s="107">
        <f t="shared" si="95"/>
        <v>0</v>
      </c>
    </row>
    <row r="304" spans="1:8">
      <c r="A304" s="30" t="s">
        <v>502</v>
      </c>
      <c r="B304" s="86" t="s">
        <v>503</v>
      </c>
      <c r="C304" s="107">
        <f t="shared" si="95"/>
        <v>0</v>
      </c>
      <c r="D304" s="107">
        <f t="shared" si="95"/>
        <v>0</v>
      </c>
      <c r="E304" s="107">
        <f t="shared" si="95"/>
        <v>0</v>
      </c>
      <c r="F304" s="107">
        <f t="shared" si="95"/>
        <v>0</v>
      </c>
      <c r="G304" s="107">
        <f t="shared" si="95"/>
        <v>0</v>
      </c>
      <c r="H304" s="107">
        <f t="shared" si="95"/>
        <v>0</v>
      </c>
    </row>
    <row r="305" spans="1:8">
      <c r="A305" s="30" t="s">
        <v>504</v>
      </c>
      <c r="B305" s="87" t="s">
        <v>505</v>
      </c>
      <c r="C305" s="80"/>
      <c r="D305" s="48"/>
      <c r="E305" s="48"/>
      <c r="F305" s="48"/>
      <c r="G305" s="55"/>
      <c r="H305" s="55"/>
    </row>
    <row r="307" spans="1:8">
      <c r="B307" s="32" t="s">
        <v>531</v>
      </c>
      <c r="E307" s="32" t="s">
        <v>532</v>
      </c>
      <c r="F307" s="116"/>
    </row>
    <row r="308" spans="1:8">
      <c r="B308" s="32" t="s">
        <v>533</v>
      </c>
      <c r="E308" s="32" t="s">
        <v>534</v>
      </c>
      <c r="F308" s="116"/>
    </row>
  </sheetData>
  <protectedRanges>
    <protectedRange sqref="C3" name="Zonă1_1" securityDescriptor="O:WDG:WDD:(A;;CC;;;WD)"/>
    <protectedRange sqref="G69:H69 G37:H40 G168:H170 H61:H65 G80:H84 G135:H138 G33:H33 H35 G94:H94 G112:H113 G96:H97 G116:H116 G122:H122 G125:H125 G127:H128 G150:H150 G153:H153 G160:H162 G172:H175 G140:H141 G155:H158 G164:H165 H143" name="Zonă3"/>
    <protectedRange sqref="B3" name="Zonă1_1_1_1_1_1_1" securityDescriptor="O:WDG:WDD:(A;;CC;;;WD)"/>
    <protectedRange sqref="G25:H32" name="Zonă3_1"/>
    <protectedRange sqref="G35" name="Zonă3_2"/>
    <protectedRange sqref="G62:G65" name="Zonă3_5"/>
    <protectedRange sqref="G91:H93" name="Zonă3_6"/>
    <protectedRange sqref="G100:H106" name="Zonă3_7"/>
    <protectedRange sqref="G115:H115" name="Zonă3_8"/>
    <protectedRange sqref="G118:H118" name="Zonă3_9"/>
    <protectedRange sqref="G119:H119" name="Zonă3_10"/>
    <protectedRange sqref="G121:H121" name="Zonă3_11"/>
    <protectedRange sqref="G124:H124" name="Zonă3_12"/>
    <protectedRange sqref="G134:H134" name="Zonă3_13"/>
    <protectedRange sqref="G142:H142" name="Zonă3_14"/>
    <protectedRange sqref="G146:H147" name="Zonă3_15"/>
    <protectedRange sqref="G149:H149" name="Zonă3_16"/>
    <protectedRange sqref="G152:H152" name="Zonă3_17"/>
    <protectedRange sqref="G187:H189" name="Zonă3_18"/>
    <protectedRange sqref="G207:H207" name="Zonă3_19"/>
    <protectedRange sqref="G213:H217" name="Zonă3_20"/>
    <protectedRange sqref="G143" name="Zonă3_21"/>
    <protectedRange sqref="G45:H50" name="Zonă3_22"/>
    <protectedRange sqref="G53:H56" name="Zonă3_23"/>
    <protectedRange sqref="G61" name="Zonă3_24"/>
  </protectedRanges>
  <mergeCells count="2">
    <mergeCell ref="A1:B1"/>
    <mergeCell ref="A2:B2"/>
  </mergeCell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MF CASBN</cp:lastModifiedBy>
  <cp:lastPrinted>2023-12-12T07:49:49Z</cp:lastPrinted>
  <dcterms:created xsi:type="dcterms:W3CDTF">2023-02-07T08:41:31Z</dcterms:created>
  <dcterms:modified xsi:type="dcterms:W3CDTF">2023-12-12T07:50:34Z</dcterms:modified>
</cp:coreProperties>
</file>